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80" windowHeight="9170" firstSheet="1" activeTab="3"/>
  </bookViews>
  <sheets>
    <sheet name="Balance Sheet Excl SVG" sheetId="1" state="hidden" r:id="rId1"/>
    <sheet name="Balance Sheet " sheetId="2" r:id="rId2"/>
    <sheet name="Inc Statement Excl SVG" sheetId="3" state="hidden" r:id="rId3"/>
    <sheet name="Inc Statement " sheetId="4" r:id="rId4"/>
    <sheet name="Sheet1" sheetId="5" state="hidden" r:id="rId5"/>
    <sheet name="Sheet2" sheetId="6" state="hidden" r:id="rId6"/>
    <sheet name="Sheet2 (2)" sheetId="7" state="hidden" r:id="rId7"/>
  </sheets>
  <externalReferences>
    <externalReference r:id="rId10"/>
  </externalReferences>
  <definedNames>
    <definedName name="_xlnm.Print_Area" localSheetId="1">'Balance Sheet '!$A$1:$K$55</definedName>
    <definedName name="_xlnm.Print_Area" localSheetId="2">'Inc Statement Excl SVG'!$A$1:$P$33</definedName>
  </definedNames>
  <calcPr fullCalcOnLoad="1"/>
</workbook>
</file>

<file path=xl/comments2.xml><?xml version="1.0" encoding="utf-8"?>
<comments xmlns="http://schemas.openxmlformats.org/spreadsheetml/2006/main">
  <authors>
    <author>malvory reece</author>
  </authors>
  <commentList>
    <comment ref="E24" authorId="0">
      <text>
        <r>
          <rPr>
            <b/>
            <sz val="8"/>
            <rFont val="Tahoma"/>
            <family val="2"/>
          </rPr>
          <t>malvory reece:</t>
        </r>
        <r>
          <rPr>
            <sz val="8"/>
            <rFont val="Tahoma"/>
            <family val="2"/>
          </rPr>
          <t xml:space="preserve">
Subtract the two amounts above from the amount in the budget spreadsheet for this line.</t>
        </r>
      </text>
    </comment>
  </commentList>
</comments>
</file>

<file path=xl/sharedStrings.xml><?xml version="1.0" encoding="utf-8"?>
<sst xmlns="http://schemas.openxmlformats.org/spreadsheetml/2006/main" count="378" uniqueCount="190">
  <si>
    <t>Month</t>
  </si>
  <si>
    <t>Year to Date</t>
  </si>
  <si>
    <t>Unaudited</t>
  </si>
  <si>
    <t>Audited</t>
  </si>
  <si>
    <t>Actual</t>
  </si>
  <si>
    <t>Prev Year</t>
  </si>
  <si>
    <t>Budget</t>
  </si>
  <si>
    <t>YTD Actual</t>
  </si>
  <si>
    <t>YTD Prior Yr</t>
  </si>
  <si>
    <t>Prior Year</t>
  </si>
  <si>
    <t>Variance %</t>
  </si>
  <si>
    <t>Interest income on loans &amp; advances</t>
  </si>
  <si>
    <t>Interest income investments and bank deposits</t>
  </si>
  <si>
    <t>Interest expense</t>
  </si>
  <si>
    <t>Net interest income</t>
  </si>
  <si>
    <t>Net fee and commission income</t>
  </si>
  <si>
    <t>Net Foreign Exchange trading income</t>
  </si>
  <si>
    <t>Other Operating Income</t>
  </si>
  <si>
    <t>Dividend income</t>
  </si>
  <si>
    <t>Provision for loan impairment</t>
  </si>
  <si>
    <t>Staff costs</t>
  </si>
  <si>
    <t>Other operating expenses</t>
  </si>
  <si>
    <t>Non-recurring Item</t>
  </si>
  <si>
    <t>Share of Loss in Associates</t>
  </si>
  <si>
    <t>Income for the period before taxation</t>
  </si>
  <si>
    <t>Income for the period after taxation</t>
  </si>
  <si>
    <t>Minority Interest</t>
  </si>
  <si>
    <t>Net Income after minority Interest and taxation</t>
  </si>
  <si>
    <t>Unaudited Consolidated Balance Sheet</t>
  </si>
  <si>
    <t xml:space="preserve">Unaudited </t>
  </si>
  <si>
    <t>Budgeted</t>
  </si>
  <si>
    <t>Previous Year</t>
  </si>
  <si>
    <t xml:space="preserve">Budget </t>
  </si>
  <si>
    <t>Assets</t>
  </si>
  <si>
    <t>Cash and balances with Central Bank</t>
  </si>
  <si>
    <t>Due from other banks</t>
  </si>
  <si>
    <t>Deposits with non-bank financial institutions</t>
  </si>
  <si>
    <t>Treasury bills</t>
  </si>
  <si>
    <t>Loans &amp; Advances to customers -  Productive</t>
  </si>
  <si>
    <t>Loans and Advances                     Nonproductive</t>
  </si>
  <si>
    <t>Provision for loan losses</t>
  </si>
  <si>
    <t>Unearned interest on discount loans</t>
  </si>
  <si>
    <t>Investments held to maturity</t>
  </si>
  <si>
    <t xml:space="preserve">                                 available for sale</t>
  </si>
  <si>
    <t>Investments held for trading</t>
  </si>
  <si>
    <t>Pledged assets</t>
  </si>
  <si>
    <t>Investment in associated undertaking</t>
  </si>
  <si>
    <t>Investment in SVG</t>
  </si>
  <si>
    <t>Property plant and equipment</t>
  </si>
  <si>
    <t>Loan to related parties</t>
  </si>
  <si>
    <t>Due from related parties</t>
  </si>
  <si>
    <t>Due from agents, brokers and policyholders</t>
  </si>
  <si>
    <t>Claims recoverable</t>
  </si>
  <si>
    <t>Other assets</t>
  </si>
  <si>
    <t>Investment Properties</t>
  </si>
  <si>
    <t>Income tax recoverable</t>
  </si>
  <si>
    <t>Deferred tax asset</t>
  </si>
  <si>
    <t>Retirement Benefit Asset</t>
  </si>
  <si>
    <t>Total assets</t>
  </si>
  <si>
    <t>Liabilities</t>
  </si>
  <si>
    <t>Due to customers</t>
  </si>
  <si>
    <t>Due to banks</t>
  </si>
  <si>
    <t>Other fund raising instruments</t>
  </si>
  <si>
    <t>Borrowings</t>
  </si>
  <si>
    <t>Unearned Insurance Premiums</t>
  </si>
  <si>
    <t>Due to Related Parties</t>
  </si>
  <si>
    <t>Dividends Payable</t>
  </si>
  <si>
    <t>Income Taxes Payable</t>
  </si>
  <si>
    <t>Total Liabilities</t>
  </si>
  <si>
    <t>Share capital</t>
  </si>
  <si>
    <t>Contributed capital</t>
  </si>
  <si>
    <t>Unrealized gain/loss on Investments</t>
  </si>
  <si>
    <t>Revaluation reserves</t>
  </si>
  <si>
    <t>Reserves</t>
  </si>
  <si>
    <t>Profit for the period</t>
  </si>
  <si>
    <t>Check</t>
  </si>
  <si>
    <t>Retained Earnings</t>
  </si>
  <si>
    <t>PRODEV interest paid to SVG</t>
  </si>
  <si>
    <t>BOSL NOTE paid to SVG</t>
  </si>
  <si>
    <t>IBM loan interest from bosl to SVG</t>
  </si>
  <si>
    <t>Supervision fees</t>
  </si>
  <si>
    <t>Credit Arising from Acquisition</t>
  </si>
  <si>
    <t>Unaudited Consolidated Income Statement</t>
  </si>
  <si>
    <t>(expressed in Eastern Caribbean Dollars)</t>
  </si>
  <si>
    <t>EAST CARIBBEAN FINANCIAL HOLDING COMPANY</t>
  </si>
  <si>
    <t>(Expressed in Eastern Caribbean Dollars)</t>
  </si>
  <si>
    <t>Shareholders' Equity</t>
  </si>
  <si>
    <t>Deferred Tax Liabilities</t>
  </si>
  <si>
    <t>Other Liabilities</t>
  </si>
  <si>
    <t>Due to Reinsurers</t>
  </si>
  <si>
    <t>Parent's Shareholders' Equity</t>
  </si>
  <si>
    <t>Total shareholders' Equity</t>
  </si>
  <si>
    <t>Total Equity and Liabilities</t>
  </si>
  <si>
    <t>YTD</t>
  </si>
  <si>
    <t>Year-to-Date</t>
  </si>
  <si>
    <t>Intangible Asset arising on Acquisition</t>
  </si>
  <si>
    <t>AMORTISATION SCHEDULE</t>
  </si>
  <si>
    <t>Fair Value Adjustment</t>
  </si>
  <si>
    <t>Economic Useful Life</t>
  </si>
  <si>
    <t>Two Months to Dec 2010</t>
  </si>
  <si>
    <t>(years)</t>
  </si>
  <si>
    <t>Loans and Advances</t>
  </si>
  <si>
    <t>Remaining Balance</t>
  </si>
  <si>
    <t>Property Plant and Equipment</t>
  </si>
  <si>
    <t>Computer Software</t>
  </si>
  <si>
    <t>Core Deposit Intangible</t>
  </si>
  <si>
    <t>Net Amortisation</t>
  </si>
  <si>
    <t>REMAINING BALANCE</t>
  </si>
  <si>
    <t>Intangibles</t>
  </si>
  <si>
    <t>PPE</t>
  </si>
  <si>
    <t>Total loans</t>
  </si>
  <si>
    <t>Total loans net provisions</t>
  </si>
  <si>
    <t>NP loans</t>
  </si>
  <si>
    <t>NP loans net provisions</t>
  </si>
  <si>
    <t>Loan loss provisions</t>
  </si>
  <si>
    <t>Deposits</t>
  </si>
  <si>
    <t>Deposits &amp; Borrowings</t>
  </si>
  <si>
    <t>Average assets</t>
  </si>
  <si>
    <t>Average equity</t>
  </si>
  <si>
    <t>Return on assets</t>
  </si>
  <si>
    <t>Return on equity</t>
  </si>
  <si>
    <t>Loans to deposits</t>
  </si>
  <si>
    <t>Loans to deposits &amp; borrowings</t>
  </si>
  <si>
    <t>NP/Total loans</t>
  </si>
  <si>
    <t>NP/Loans net of provisions</t>
  </si>
  <si>
    <t>Provisions/NP loans</t>
  </si>
  <si>
    <t>Operating income</t>
  </si>
  <si>
    <t>Non-interest income</t>
  </si>
  <si>
    <t>Operating expenses incl. provisions</t>
  </si>
  <si>
    <t>Operating expenses excl. provisions</t>
  </si>
  <si>
    <t>staff cost</t>
  </si>
  <si>
    <t>Net Profit per employee</t>
  </si>
  <si>
    <t>Average Staff Cost per Employee</t>
  </si>
  <si>
    <t>Efficiency with provisions</t>
  </si>
  <si>
    <t>Efficiciency without provisions</t>
  </si>
  <si>
    <t>Staff cost/Operating income</t>
  </si>
  <si>
    <t>Non-interest income/Staff costs</t>
  </si>
  <si>
    <t xml:space="preserve">Projected Taxation </t>
  </si>
  <si>
    <t>As at July 31st, 2011</t>
  </si>
  <si>
    <t>Rental Income</t>
  </si>
  <si>
    <t>Net Earned Insurance Premiums</t>
  </si>
  <si>
    <t>Net Insurance Claims and Commissions</t>
  </si>
  <si>
    <t>For period ended August 31st, 2011</t>
  </si>
  <si>
    <t>June</t>
  </si>
  <si>
    <t>Month july</t>
  </si>
  <si>
    <t>Aug</t>
  </si>
  <si>
    <t>BOSL Credit</t>
  </si>
  <si>
    <t>svg Bad Debt Recovered</t>
  </si>
  <si>
    <t>YTD Budget</t>
  </si>
  <si>
    <t>BUDGET MONTH</t>
  </si>
  <si>
    <t>JULY</t>
  </si>
  <si>
    <t>AUG</t>
  </si>
  <si>
    <t>760320-Stationery 4 c's</t>
  </si>
  <si>
    <t>761730-Miscel 4 c's</t>
  </si>
  <si>
    <t>761720- 4c's trans processing fee</t>
  </si>
  <si>
    <t>SVG Credit Card</t>
  </si>
  <si>
    <t>jul</t>
  </si>
  <si>
    <t>jun</t>
  </si>
  <si>
    <t>BOSL</t>
  </si>
  <si>
    <t>MFC</t>
  </si>
  <si>
    <t>ECFH</t>
  </si>
  <si>
    <t>GIS</t>
  </si>
  <si>
    <t>ECG</t>
  </si>
  <si>
    <t>BOSLIL</t>
  </si>
  <si>
    <t>PRODEV</t>
  </si>
  <si>
    <t>SLGF</t>
  </si>
  <si>
    <t>PSEF</t>
  </si>
  <si>
    <t>Debits</t>
  </si>
  <si>
    <t>Credits</t>
  </si>
  <si>
    <t>Consol</t>
  </si>
  <si>
    <t>Total</t>
  </si>
  <si>
    <t>bosvg</t>
  </si>
  <si>
    <t>Provision for Investment Impairment</t>
  </si>
  <si>
    <t>Gain/Loss Investments</t>
  </si>
  <si>
    <t>Preference Shares</t>
  </si>
  <si>
    <t xml:space="preserve">Unaudited Consolidated Balance Sheet </t>
  </si>
  <si>
    <t>Dividend preference shares</t>
  </si>
  <si>
    <t>Share of profit in associate</t>
  </si>
  <si>
    <t>Audited  Actual</t>
  </si>
  <si>
    <t>Bad debt recoveries</t>
  </si>
  <si>
    <t xml:space="preserve">Investments at amortised cost </t>
  </si>
  <si>
    <t>Investments  at FVOCI</t>
  </si>
  <si>
    <t>Investments at FVTPL</t>
  </si>
  <si>
    <t>Right of use leased asset</t>
  </si>
  <si>
    <t>Lease Liability</t>
  </si>
  <si>
    <t>Premium expense</t>
  </si>
  <si>
    <t>As at June 30th, 2023</t>
  </si>
  <si>
    <t>For period ended June 30th, 2023</t>
  </si>
  <si>
    <t>Variance June/March 2023</t>
  </si>
  <si>
    <t>Variance June 2023/June 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</si>
</sst>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00"/>
    <numFmt numFmtId="167" formatCode="#,##0.000"/>
    <numFmt numFmtId="168" formatCode="#,##0.0"/>
    <numFmt numFmtId="169" formatCode="0.00_);\(0.00\)"/>
    <numFmt numFmtId="170" formatCode="0.0_);\(0.0\)"/>
    <numFmt numFmtId="171" formatCode="0_);\(0\)"/>
    <numFmt numFmtId="172" formatCode="_(* #,##0.0_);_(* \(#,##0.0\);_(* &quot;-&quot;?_);_(@_)"/>
    <numFmt numFmtId="173" formatCode="[$-409]h:mm:ss\ AM/PM"/>
    <numFmt numFmtId="174" formatCode="[$-409]dddd\,\ mmmm\ dd\,\ yyyy"/>
    <numFmt numFmtId="175" formatCode="[$-409]mmm\-yy;@"/>
    <numFmt numFmtId="176" formatCode="_(* #,##0.000_);_(* \(#,##0.000\);_(* &quot;-&quot;??_);_(@_)"/>
    <numFmt numFmtId="177" formatCode="_(* #,##0.0000000000000000000000_);_(* \(#,##0.00000000000000000000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Calibri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Border="1" applyAlignment="1">
      <alignment/>
    </xf>
    <xf numFmtId="0" fontId="56" fillId="0" borderId="0" xfId="0" applyFont="1" applyAlignment="1">
      <alignment/>
    </xf>
    <xf numFmtId="17" fontId="56" fillId="0" borderId="0" xfId="0" applyNumberFormat="1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17" fontId="56" fillId="0" borderId="0" xfId="0" applyNumberFormat="1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59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11" borderId="13" xfId="0" applyFont="1" applyFill="1" applyBorder="1" applyAlignment="1">
      <alignment horizontal="center"/>
    </xf>
    <xf numFmtId="0" fontId="60" fillId="0" borderId="12" xfId="0" applyFont="1" applyBorder="1" applyAlignment="1">
      <alignment horizontal="center" wrapText="1"/>
    </xf>
    <xf numFmtId="0" fontId="59" fillId="0" borderId="15" xfId="0" applyFont="1" applyBorder="1" applyAlignment="1">
      <alignment/>
    </xf>
    <xf numFmtId="17" fontId="60" fillId="0" borderId="16" xfId="0" applyNumberFormat="1" applyFont="1" applyBorder="1" applyAlignment="1">
      <alignment horizontal="center"/>
    </xf>
    <xf numFmtId="17" fontId="60" fillId="0" borderId="17" xfId="0" applyNumberFormat="1" applyFont="1" applyBorder="1" applyAlignment="1">
      <alignment horizontal="center"/>
    </xf>
    <xf numFmtId="17" fontId="60" fillId="33" borderId="17" xfId="0" applyNumberFormat="1" applyFont="1" applyFill="1" applyBorder="1" applyAlignment="1">
      <alignment horizontal="center"/>
    </xf>
    <xf numFmtId="17" fontId="60" fillId="0" borderId="18" xfId="0" applyNumberFormat="1" applyFont="1" applyBorder="1" applyAlignment="1">
      <alignment horizontal="center"/>
    </xf>
    <xf numFmtId="0" fontId="60" fillId="11" borderId="17" xfId="0" applyFont="1" applyFill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33" borderId="0" xfId="0" applyFont="1" applyFill="1" applyBorder="1" applyAlignment="1">
      <alignment/>
    </xf>
    <xf numFmtId="0" fontId="59" fillId="0" borderId="19" xfId="0" applyFont="1" applyBorder="1" applyAlignment="1">
      <alignment/>
    </xf>
    <xf numFmtId="0" fontId="59" fillId="11" borderId="0" xfId="0" applyFont="1" applyFill="1" applyBorder="1" applyAlignment="1">
      <alignment/>
    </xf>
    <xf numFmtId="3" fontId="59" fillId="33" borderId="0" xfId="0" applyNumberFormat="1" applyFont="1" applyFill="1" applyBorder="1" applyAlignment="1">
      <alignment/>
    </xf>
    <xf numFmtId="9" fontId="59" fillId="0" borderId="10" xfId="0" applyNumberFormat="1" applyFont="1" applyBorder="1" applyAlignment="1">
      <alignment/>
    </xf>
    <xf numFmtId="9" fontId="59" fillId="0" borderId="19" xfId="0" applyNumberFormat="1" applyFont="1" applyBorder="1" applyAlignment="1">
      <alignment/>
    </xf>
    <xf numFmtId="0" fontId="59" fillId="11" borderId="0" xfId="0" applyFont="1" applyFill="1" applyAlignment="1">
      <alignment/>
    </xf>
    <xf numFmtId="37" fontId="59" fillId="0" borderId="10" xfId="0" applyNumberFormat="1" applyFont="1" applyBorder="1" applyAlignment="1">
      <alignment/>
    </xf>
    <xf numFmtId="37" fontId="59" fillId="33" borderId="0" xfId="0" applyNumberFormat="1" applyFont="1" applyFill="1" applyBorder="1" applyAlignment="1">
      <alignment/>
    </xf>
    <xf numFmtId="37" fontId="59" fillId="0" borderId="0" xfId="0" applyNumberFormat="1" applyFont="1" applyBorder="1" applyAlignment="1">
      <alignment/>
    </xf>
    <xf numFmtId="0" fontId="60" fillId="0" borderId="15" xfId="0" applyFont="1" applyBorder="1" applyAlignment="1">
      <alignment/>
    </xf>
    <xf numFmtId="0" fontId="60" fillId="11" borderId="0" xfId="0" applyFont="1" applyFill="1" applyAlignment="1">
      <alignment/>
    </xf>
    <xf numFmtId="0" fontId="59" fillId="0" borderId="20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3" fontId="59" fillId="33" borderId="17" xfId="0" applyNumberFormat="1" applyFont="1" applyFill="1" applyBorder="1" applyAlignment="1">
      <alignment/>
    </xf>
    <xf numFmtId="0" fontId="59" fillId="0" borderId="18" xfId="0" applyFont="1" applyBorder="1" applyAlignment="1">
      <alignment/>
    </xf>
    <xf numFmtId="9" fontId="59" fillId="0" borderId="16" xfId="0" applyNumberFormat="1" applyFont="1" applyBorder="1" applyAlignment="1">
      <alignment/>
    </xf>
    <xf numFmtId="9" fontId="59" fillId="0" borderId="18" xfId="0" applyNumberFormat="1" applyFont="1" applyBorder="1" applyAlignment="1">
      <alignment/>
    </xf>
    <xf numFmtId="9" fontId="60" fillId="0" borderId="21" xfId="0" applyNumberFormat="1" applyFont="1" applyBorder="1" applyAlignment="1">
      <alignment/>
    </xf>
    <xf numFmtId="9" fontId="60" fillId="0" borderId="22" xfId="0" applyNumberFormat="1" applyFont="1" applyBorder="1" applyAlignment="1">
      <alignment/>
    </xf>
    <xf numFmtId="9" fontId="60" fillId="0" borderId="23" xfId="0" applyNumberFormat="1" applyFont="1" applyBorder="1" applyAlignment="1">
      <alignment/>
    </xf>
    <xf numFmtId="9" fontId="60" fillId="0" borderId="24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11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3" fontId="59" fillId="0" borderId="1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7" fontId="59" fillId="0" borderId="0" xfId="0" applyNumberFormat="1" applyFont="1" applyFill="1" applyBorder="1" applyAlignment="1">
      <alignment/>
    </xf>
    <xf numFmtId="37" fontId="59" fillId="0" borderId="10" xfId="0" applyNumberFormat="1" applyFont="1" applyFill="1" applyBorder="1" applyAlignment="1">
      <alignment/>
    </xf>
    <xf numFmtId="37" fontId="60" fillId="33" borderId="0" xfId="0" applyNumberFormat="1" applyFont="1" applyFill="1" applyBorder="1" applyAlignment="1">
      <alignment/>
    </xf>
    <xf numFmtId="37" fontId="60" fillId="0" borderId="0" xfId="0" applyNumberFormat="1" applyFont="1" applyFill="1" applyBorder="1" applyAlignment="1">
      <alignment/>
    </xf>
    <xf numFmtId="3" fontId="59" fillId="0" borderId="17" xfId="0" applyNumberFormat="1" applyFont="1" applyFill="1" applyBorder="1" applyAlignment="1">
      <alignment/>
    </xf>
    <xf numFmtId="37" fontId="60" fillId="33" borderId="25" xfId="0" applyNumberFormat="1" applyFont="1" applyFill="1" applyBorder="1" applyAlignment="1">
      <alignment/>
    </xf>
    <xf numFmtId="37" fontId="60" fillId="0" borderId="25" xfId="0" applyNumberFormat="1" applyFont="1" applyFill="1" applyBorder="1" applyAlignment="1">
      <alignment/>
    </xf>
    <xf numFmtId="9" fontId="59" fillId="0" borderId="0" xfId="65" applyFont="1" applyBorder="1" applyAlignment="1">
      <alignment/>
    </xf>
    <xf numFmtId="9" fontId="59" fillId="0" borderId="19" xfId="65" applyFont="1" applyBorder="1" applyAlignment="1">
      <alignment/>
    </xf>
    <xf numFmtId="9" fontId="59" fillId="0" borderId="17" xfId="65" applyFont="1" applyBorder="1" applyAlignment="1">
      <alignment/>
    </xf>
    <xf numFmtId="9" fontId="59" fillId="0" borderId="18" xfId="65" applyFont="1" applyBorder="1" applyAlignment="1">
      <alignment/>
    </xf>
    <xf numFmtId="9" fontId="60" fillId="0" borderId="0" xfId="65" applyFont="1" applyBorder="1" applyAlignment="1">
      <alignment/>
    </xf>
    <xf numFmtId="9" fontId="60" fillId="0" borderId="19" xfId="65" applyFont="1" applyBorder="1" applyAlignment="1">
      <alignment/>
    </xf>
    <xf numFmtId="9" fontId="60" fillId="0" borderId="24" xfId="65" applyFont="1" applyBorder="1" applyAlignment="1">
      <alignment/>
    </xf>
    <xf numFmtId="37" fontId="59" fillId="33" borderId="17" xfId="0" applyNumberFormat="1" applyFont="1" applyFill="1" applyBorder="1" applyAlignment="1">
      <alignment/>
    </xf>
    <xf numFmtId="37" fontId="59" fillId="0" borderId="17" xfId="0" applyNumberFormat="1" applyFont="1" applyFill="1" applyBorder="1" applyAlignment="1">
      <alignment/>
    </xf>
    <xf numFmtId="37" fontId="59" fillId="0" borderId="16" xfId="0" applyNumberFormat="1" applyFont="1" applyBorder="1" applyAlignment="1">
      <alignment/>
    </xf>
    <xf numFmtId="37" fontId="60" fillId="0" borderId="0" xfId="0" applyNumberFormat="1" applyFont="1" applyBorder="1" applyAlignment="1">
      <alignment/>
    </xf>
    <xf numFmtId="37" fontId="60" fillId="0" borderId="25" xfId="0" applyNumberFormat="1" applyFont="1" applyBorder="1" applyAlignment="1">
      <alignment/>
    </xf>
    <xf numFmtId="37" fontId="59" fillId="0" borderId="10" xfId="42" applyNumberFormat="1" applyFont="1" applyBorder="1" applyAlignment="1">
      <alignment/>
    </xf>
    <xf numFmtId="37" fontId="60" fillId="0" borderId="12" xfId="0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/>
    </xf>
    <xf numFmtId="37" fontId="60" fillId="33" borderId="13" xfId="0" applyNumberFormat="1" applyFont="1" applyFill="1" applyBorder="1" applyAlignment="1">
      <alignment/>
    </xf>
    <xf numFmtId="37" fontId="60" fillId="0" borderId="26" xfId="0" applyNumberFormat="1" applyFont="1" applyBorder="1" applyAlignment="1">
      <alignment/>
    </xf>
    <xf numFmtId="37" fontId="60" fillId="33" borderId="26" xfId="0" applyNumberFormat="1" applyFont="1" applyFill="1" applyBorder="1" applyAlignment="1">
      <alignment/>
    </xf>
    <xf numFmtId="9" fontId="59" fillId="0" borderId="14" xfId="65" applyFont="1" applyBorder="1" applyAlignment="1">
      <alignment/>
    </xf>
    <xf numFmtId="17" fontId="60" fillId="0" borderId="17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7" fontId="59" fillId="0" borderId="16" xfId="0" applyNumberFormat="1" applyFont="1" applyFill="1" applyBorder="1" applyAlignment="1">
      <alignment/>
    </xf>
    <xf numFmtId="9" fontId="59" fillId="0" borderId="25" xfId="65" applyFont="1" applyBorder="1" applyAlignment="1">
      <alignment/>
    </xf>
    <xf numFmtId="9" fontId="59" fillId="0" borderId="24" xfId="65" applyFont="1" applyBorder="1" applyAlignment="1">
      <alignment/>
    </xf>
    <xf numFmtId="0" fontId="60" fillId="0" borderId="13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" fontId="60" fillId="0" borderId="16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/>
    </xf>
    <xf numFmtId="0" fontId="59" fillId="33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9" fontId="59" fillId="0" borderId="13" xfId="65" applyFont="1" applyBorder="1" applyAlignment="1">
      <alignment/>
    </xf>
    <xf numFmtId="0" fontId="59" fillId="0" borderId="16" xfId="0" applyFont="1" applyFill="1" applyBorder="1" applyAlignment="1">
      <alignment/>
    </xf>
    <xf numFmtId="37" fontId="60" fillId="0" borderId="27" xfId="0" applyNumberFormat="1" applyFont="1" applyFill="1" applyBorder="1" applyAlignment="1">
      <alignment/>
    </xf>
    <xf numFmtId="37" fontId="60" fillId="33" borderId="28" xfId="0" applyNumberFormat="1" applyFont="1" applyFill="1" applyBorder="1" applyAlignment="1">
      <alignment/>
    </xf>
    <xf numFmtId="9" fontId="59" fillId="0" borderId="28" xfId="65" applyFont="1" applyBorder="1" applyAlignment="1">
      <alignment/>
    </xf>
    <xf numFmtId="37" fontId="60" fillId="0" borderId="28" xfId="0" applyNumberFormat="1" applyFont="1" applyFill="1" applyBorder="1" applyAlignment="1">
      <alignment/>
    </xf>
    <xf numFmtId="9" fontId="60" fillId="0" borderId="14" xfId="65" applyFont="1" applyBorder="1" applyAlignment="1">
      <alignment/>
    </xf>
    <xf numFmtId="9" fontId="59" fillId="0" borderId="29" xfId="65" applyFont="1" applyBorder="1" applyAlignment="1">
      <alignment/>
    </xf>
    <xf numFmtId="0" fontId="60" fillId="11" borderId="0" xfId="0" applyFont="1" applyFill="1" applyBorder="1" applyAlignment="1">
      <alignment/>
    </xf>
    <xf numFmtId="9" fontId="59" fillId="11" borderId="0" xfId="65" applyFont="1" applyFill="1" applyBorder="1" applyAlignment="1">
      <alignment/>
    </xf>
    <xf numFmtId="9" fontId="60" fillId="11" borderId="0" xfId="65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60" fillId="34" borderId="15" xfId="0" applyFont="1" applyFill="1" applyBorder="1" applyAlignment="1">
      <alignment horizontal="center"/>
    </xf>
    <xf numFmtId="0" fontId="59" fillId="34" borderId="11" xfId="0" applyFont="1" applyFill="1" applyBorder="1" applyAlignment="1">
      <alignment/>
    </xf>
    <xf numFmtId="37" fontId="59" fillId="34" borderId="15" xfId="65" applyNumberFormat="1" applyFont="1" applyFill="1" applyBorder="1" applyAlignment="1">
      <alignment/>
    </xf>
    <xf numFmtId="37" fontId="59" fillId="34" borderId="20" xfId="65" applyNumberFormat="1" applyFont="1" applyFill="1" applyBorder="1" applyAlignment="1">
      <alignment/>
    </xf>
    <xf numFmtId="37" fontId="60" fillId="34" borderId="11" xfId="65" applyNumberFormat="1" applyFont="1" applyFill="1" applyBorder="1" applyAlignment="1">
      <alignment/>
    </xf>
    <xf numFmtId="37" fontId="59" fillId="34" borderId="11" xfId="65" applyNumberFormat="1" applyFont="1" applyFill="1" applyBorder="1" applyAlignment="1">
      <alignment/>
    </xf>
    <xf numFmtId="37" fontId="59" fillId="34" borderId="20" xfId="0" applyNumberFormat="1" applyFont="1" applyFill="1" applyBorder="1" applyAlignment="1">
      <alignment/>
    </xf>
    <xf numFmtId="37" fontId="5" fillId="34" borderId="11" xfId="0" applyNumberFormat="1" applyFont="1" applyFill="1" applyBorder="1" applyAlignment="1">
      <alignment vertical="justify"/>
    </xf>
    <xf numFmtId="37" fontId="5" fillId="34" borderId="20" xfId="42" applyNumberFormat="1" applyFont="1" applyFill="1" applyBorder="1" applyAlignment="1">
      <alignment vertical="justify"/>
    </xf>
    <xf numFmtId="37" fontId="60" fillId="34" borderId="30" xfId="0" applyNumberFormat="1" applyFont="1" applyFill="1" applyBorder="1" applyAlignment="1">
      <alignment/>
    </xf>
    <xf numFmtId="0" fontId="60" fillId="0" borderId="31" xfId="0" applyFont="1" applyFill="1" applyBorder="1" applyAlignment="1">
      <alignment/>
    </xf>
    <xf numFmtId="17" fontId="60" fillId="34" borderId="2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37" fontId="60" fillId="0" borderId="27" xfId="0" applyNumberFormat="1" applyFont="1" applyBorder="1" applyAlignment="1">
      <alignment/>
    </xf>
    <xf numFmtId="37" fontId="60" fillId="0" borderId="26" xfId="0" applyNumberFormat="1" applyFont="1" applyFill="1" applyBorder="1" applyAlignment="1">
      <alignment/>
    </xf>
    <xf numFmtId="41" fontId="59" fillId="0" borderId="0" xfId="0" applyNumberFormat="1" applyFont="1" applyAlignment="1">
      <alignment/>
    </xf>
    <xf numFmtId="43" fontId="0" fillId="0" borderId="0" xfId="42" applyFont="1" applyAlignment="1">
      <alignment/>
    </xf>
    <xf numFmtId="37" fontId="60" fillId="0" borderId="13" xfId="0" applyNumberFormat="1" applyFont="1" applyBorder="1" applyAlignment="1">
      <alignment/>
    </xf>
    <xf numFmtId="37" fontId="60" fillId="33" borderId="13" xfId="0" applyNumberFormat="1" applyFont="1" applyFill="1" applyBorder="1" applyAlignment="1">
      <alignment/>
    </xf>
    <xf numFmtId="37" fontId="60" fillId="33" borderId="25" xfId="0" applyNumberFormat="1" applyFont="1" applyFill="1" applyBorder="1" applyAlignment="1">
      <alignment/>
    </xf>
    <xf numFmtId="0" fontId="60" fillId="0" borderId="13" xfId="0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37" fontId="60" fillId="0" borderId="26" xfId="0" applyNumberFormat="1" applyFont="1" applyBorder="1" applyAlignment="1">
      <alignment/>
    </xf>
    <xf numFmtId="37" fontId="59" fillId="0" borderId="0" xfId="0" applyNumberFormat="1" applyFont="1" applyBorder="1" applyAlignment="1">
      <alignment/>
    </xf>
    <xf numFmtId="37" fontId="60" fillId="0" borderId="13" xfId="0" applyNumberFormat="1" applyFont="1" applyBorder="1" applyAlignment="1">
      <alignment/>
    </xf>
    <xf numFmtId="37" fontId="60" fillId="0" borderId="25" xfId="0" applyNumberFormat="1" applyFont="1" applyBorder="1" applyAlignment="1">
      <alignment/>
    </xf>
    <xf numFmtId="0" fontId="60" fillId="11" borderId="11" xfId="0" applyFont="1" applyFill="1" applyBorder="1" applyAlignment="1">
      <alignment horizontal="center"/>
    </xf>
    <xf numFmtId="0" fontId="60" fillId="11" borderId="20" xfId="0" applyFont="1" applyFill="1" applyBorder="1" applyAlignment="1">
      <alignment horizontal="center"/>
    </xf>
    <xf numFmtId="0" fontId="59" fillId="11" borderId="15" xfId="0" applyFont="1" applyFill="1" applyBorder="1" applyAlignment="1">
      <alignment/>
    </xf>
    <xf numFmtId="0" fontId="60" fillId="11" borderId="15" xfId="0" applyFont="1" applyFill="1" applyBorder="1" applyAlignment="1">
      <alignment/>
    </xf>
    <xf numFmtId="9" fontId="0" fillId="0" borderId="0" xfId="65" applyFont="1" applyAlignment="1">
      <alignment/>
    </xf>
    <xf numFmtId="9" fontId="60" fillId="0" borderId="12" xfId="0" applyNumberFormat="1" applyFont="1" applyBorder="1" applyAlignment="1">
      <alignment/>
    </xf>
    <xf numFmtId="9" fontId="60" fillId="0" borderId="14" xfId="0" applyNumberFormat="1" applyFont="1" applyBorder="1" applyAlignment="1">
      <alignment/>
    </xf>
    <xf numFmtId="0" fontId="59" fillId="0" borderId="12" xfId="0" applyFont="1" applyBorder="1" applyAlignment="1">
      <alignment/>
    </xf>
    <xf numFmtId="9" fontId="59" fillId="0" borderId="10" xfId="65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41" fontId="59" fillId="0" borderId="0" xfId="0" applyNumberFormat="1" applyFont="1" applyBorder="1" applyAlignment="1">
      <alignment/>
    </xf>
    <xf numFmtId="41" fontId="59" fillId="0" borderId="19" xfId="0" applyNumberFormat="1" applyFont="1" applyBorder="1" applyAlignment="1">
      <alignment/>
    </xf>
    <xf numFmtId="0" fontId="59" fillId="0" borderId="19" xfId="0" applyNumberFormat="1" applyFont="1" applyBorder="1" applyAlignment="1">
      <alignment/>
    </xf>
    <xf numFmtId="37" fontId="59" fillId="0" borderId="19" xfId="0" applyNumberFormat="1" applyFont="1" applyBorder="1" applyAlignment="1">
      <alignment/>
    </xf>
    <xf numFmtId="9" fontId="60" fillId="0" borderId="23" xfId="65" applyFont="1" applyBorder="1" applyAlignment="1">
      <alignment/>
    </xf>
    <xf numFmtId="9" fontId="60" fillId="0" borderId="21" xfId="65" applyFont="1" applyBorder="1" applyAlignment="1">
      <alignment/>
    </xf>
    <xf numFmtId="9" fontId="60" fillId="0" borderId="22" xfId="65" applyFont="1" applyBorder="1" applyAlignment="1">
      <alignment/>
    </xf>
    <xf numFmtId="37" fontId="60" fillId="0" borderId="29" xfId="0" applyNumberFormat="1" applyFont="1" applyFill="1" applyBorder="1" applyAlignment="1">
      <alignment/>
    </xf>
    <xf numFmtId="37" fontId="60" fillId="0" borderId="21" xfId="0" applyNumberFormat="1" applyFont="1" applyBorder="1" applyAlignment="1">
      <alignment/>
    </xf>
    <xf numFmtId="37" fontId="60" fillId="0" borderId="22" xfId="0" applyNumberFormat="1" applyFont="1" applyFill="1" applyBorder="1" applyAlignment="1">
      <alignment/>
    </xf>
    <xf numFmtId="9" fontId="56" fillId="0" borderId="0" xfId="65" applyFont="1" applyAlignment="1">
      <alignment/>
    </xf>
    <xf numFmtId="0" fontId="59" fillId="11" borderId="10" xfId="0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37" fontId="56" fillId="35" borderId="11" xfId="42" applyNumberFormat="1" applyFont="1" applyFill="1" applyBorder="1" applyAlignment="1">
      <alignment horizontal="center"/>
    </xf>
    <xf numFmtId="17" fontId="60" fillId="35" borderId="20" xfId="0" applyNumberFormat="1" applyFont="1" applyFill="1" applyBorder="1" applyAlignment="1">
      <alignment horizontal="center"/>
    </xf>
    <xf numFmtId="37" fontId="0" fillId="35" borderId="15" xfId="42" applyNumberFormat="1" applyFont="1" applyFill="1" applyBorder="1" applyAlignment="1">
      <alignment/>
    </xf>
    <xf numFmtId="37" fontId="0" fillId="0" borderId="20" xfId="42" applyNumberFormat="1" applyFont="1" applyBorder="1" applyAlignment="1">
      <alignment/>
    </xf>
    <xf numFmtId="37" fontId="59" fillId="35" borderId="15" xfId="0" applyNumberFormat="1" applyFont="1" applyFill="1" applyBorder="1" applyAlignment="1">
      <alignment/>
    </xf>
    <xf numFmtId="37" fontId="60" fillId="35" borderId="31" xfId="0" applyNumberFormat="1" applyFont="1" applyFill="1" applyBorder="1" applyAlignment="1">
      <alignment/>
    </xf>
    <xf numFmtId="37" fontId="60" fillId="35" borderId="32" xfId="0" applyNumberFormat="1" applyFont="1" applyFill="1" applyBorder="1" applyAlignment="1">
      <alignment/>
    </xf>
    <xf numFmtId="9" fontId="0" fillId="11" borderId="0" xfId="65" applyFont="1" applyFill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wrapText="1"/>
    </xf>
    <xf numFmtId="0" fontId="6" fillId="0" borderId="33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42" applyNumberFormat="1" applyFont="1" applyAlignment="1">
      <alignment/>
    </xf>
    <xf numFmtId="37" fontId="61" fillId="0" borderId="0" xfId="0" applyNumberFormat="1" applyFont="1" applyAlignment="1">
      <alignment/>
    </xf>
    <xf numFmtId="0" fontId="7" fillId="0" borderId="34" xfId="0" applyFont="1" applyBorder="1" applyAlignment="1">
      <alignment/>
    </xf>
    <xf numFmtId="0" fontId="0" fillId="0" borderId="34" xfId="0" applyBorder="1" applyAlignment="1">
      <alignment/>
    </xf>
    <xf numFmtId="164" fontId="0" fillId="0" borderId="34" xfId="42" applyNumberFormat="1" applyFont="1" applyBorder="1" applyAlignment="1">
      <alignment/>
    </xf>
    <xf numFmtId="0" fontId="6" fillId="0" borderId="28" xfId="0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28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0" fontId="8" fillId="0" borderId="0" xfId="0" applyFont="1" applyAlignment="1">
      <alignment vertical="justify"/>
    </xf>
    <xf numFmtId="0" fontId="5" fillId="0" borderId="0" xfId="0" applyFont="1" applyFill="1" applyAlignment="1">
      <alignment/>
    </xf>
    <xf numFmtId="37" fontId="5" fillId="0" borderId="0" xfId="0" applyNumberFormat="1" applyFont="1" applyFill="1" applyAlignment="1">
      <alignment vertical="justify"/>
    </xf>
    <xf numFmtId="3" fontId="5" fillId="0" borderId="0" xfId="0" applyNumberFormat="1" applyFont="1" applyFill="1" applyAlignment="1">
      <alignment vertical="justify"/>
    </xf>
    <xf numFmtId="164" fontId="5" fillId="0" borderId="0" xfId="0" applyNumberFormat="1" applyFont="1" applyFill="1" applyAlignment="1">
      <alignment vertical="justify"/>
    </xf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justify"/>
    </xf>
    <xf numFmtId="0" fontId="5" fillId="0" borderId="0" xfId="0" applyFont="1" applyFill="1" applyAlignment="1">
      <alignment horizontal="left"/>
    </xf>
    <xf numFmtId="10" fontId="5" fillId="0" borderId="0" xfId="65" applyNumberFormat="1" applyFont="1" applyFill="1" applyAlignment="1">
      <alignment vertical="justify"/>
    </xf>
    <xf numFmtId="10" fontId="5" fillId="0" borderId="0" xfId="0" applyNumberFormat="1" applyFont="1" applyFill="1" applyAlignment="1">
      <alignment vertical="justify"/>
    </xf>
    <xf numFmtId="10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7" fontId="60" fillId="35" borderId="11" xfId="42" applyNumberFormat="1" applyFont="1" applyFill="1" applyBorder="1" applyAlignment="1">
      <alignment horizontal="center" wrapText="1"/>
    </xf>
    <xf numFmtId="0" fontId="59" fillId="0" borderId="15" xfId="0" applyFont="1" applyFill="1" applyBorder="1" applyAlignment="1">
      <alignment/>
    </xf>
    <xf numFmtId="37" fontId="59" fillId="0" borderId="0" xfId="0" applyNumberFormat="1" applyFont="1" applyAlignment="1">
      <alignment/>
    </xf>
    <xf numFmtId="37" fontId="59" fillId="35" borderId="20" xfId="0" applyNumberFormat="1" applyFont="1" applyFill="1" applyBorder="1" applyAlignment="1">
      <alignment/>
    </xf>
    <xf numFmtId="37" fontId="60" fillId="35" borderId="12" xfId="0" applyNumberFormat="1" applyFont="1" applyFill="1" applyBorder="1" applyAlignment="1">
      <alignment/>
    </xf>
    <xf numFmtId="37" fontId="5" fillId="36" borderId="0" xfId="0" applyNumberFormat="1" applyFont="1" applyFill="1" applyAlignment="1">
      <alignment vertical="justify"/>
    </xf>
    <xf numFmtId="3" fontId="5" fillId="36" borderId="0" xfId="0" applyNumberFormat="1" applyFont="1" applyFill="1" applyAlignment="1">
      <alignment vertical="justify"/>
    </xf>
    <xf numFmtId="164" fontId="5" fillId="36" borderId="0" xfId="0" applyNumberFormat="1" applyFont="1" applyFill="1" applyAlignment="1">
      <alignment vertical="justify"/>
    </xf>
    <xf numFmtId="37" fontId="59" fillId="36" borderId="0" xfId="0" applyNumberFormat="1" applyFont="1" applyFill="1" applyBorder="1" applyAlignment="1">
      <alignment/>
    </xf>
    <xf numFmtId="37" fontId="60" fillId="36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5" fillId="36" borderId="0" xfId="65" applyNumberFormat="1" applyFont="1" applyFill="1" applyAlignment="1">
      <alignment vertical="justify"/>
    </xf>
    <xf numFmtId="10" fontId="5" fillId="36" borderId="0" xfId="0" applyNumberFormat="1" applyFont="1" applyFill="1" applyAlignment="1">
      <alignment vertical="justify"/>
    </xf>
    <xf numFmtId="0" fontId="56" fillId="0" borderId="0" xfId="0" applyFont="1" applyAlignment="1">
      <alignment horizontal="center"/>
    </xf>
    <xf numFmtId="37" fontId="60" fillId="0" borderId="13" xfId="0" applyNumberFormat="1" applyFont="1" applyFill="1" applyBorder="1" applyAlignment="1">
      <alignment/>
    </xf>
    <xf numFmtId="10" fontId="0" fillId="33" borderId="0" xfId="0" applyNumberFormat="1" applyFill="1" applyAlignment="1">
      <alignment/>
    </xf>
    <xf numFmtId="9" fontId="0" fillId="0" borderId="0" xfId="65" applyFont="1" applyAlignment="1">
      <alignment/>
    </xf>
    <xf numFmtId="37" fontId="59" fillId="0" borderId="19" xfId="0" applyNumberFormat="1" applyFont="1" applyFill="1" applyBorder="1" applyAlignment="1">
      <alignment/>
    </xf>
    <xf numFmtId="37" fontId="59" fillId="37" borderId="0" xfId="0" applyNumberFormat="1" applyFont="1" applyFill="1" applyBorder="1" applyAlignment="1">
      <alignment/>
    </xf>
    <xf numFmtId="37" fontId="59" fillId="37" borderId="15" xfId="65" applyNumberFormat="1" applyFont="1" applyFill="1" applyBorder="1" applyAlignment="1">
      <alignment/>
    </xf>
    <xf numFmtId="3" fontId="59" fillId="37" borderId="0" xfId="0" applyNumberFormat="1" applyFont="1" applyFill="1" applyBorder="1" applyAlignment="1">
      <alignment/>
    </xf>
    <xf numFmtId="37" fontId="59" fillId="0" borderId="0" xfId="42" applyNumberFormat="1" applyFont="1" applyBorder="1" applyAlignment="1">
      <alignment/>
    </xf>
    <xf numFmtId="164" fontId="59" fillId="0" borderId="10" xfId="42" applyNumberFormat="1" applyFont="1" applyBorder="1" applyAlignment="1">
      <alignment/>
    </xf>
    <xf numFmtId="41" fontId="0" fillId="0" borderId="0" xfId="0" applyNumberFormat="1" applyAlignment="1">
      <alignment/>
    </xf>
    <xf numFmtId="17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17" fontId="56" fillId="0" borderId="0" xfId="0" applyNumberFormat="1" applyFont="1" applyAlignment="1">
      <alignment horizontal="center"/>
    </xf>
    <xf numFmtId="0" fontId="0" fillId="38" borderId="0" xfId="0" applyFill="1" applyAlignment="1">
      <alignment/>
    </xf>
    <xf numFmtId="164" fontId="0" fillId="18" borderId="0" xfId="0" applyNumberFormat="1" applyFill="1" applyAlignment="1">
      <alignment/>
    </xf>
    <xf numFmtId="164" fontId="59" fillId="0" borderId="0" xfId="0" applyNumberFormat="1" applyFont="1" applyAlignment="1">
      <alignment/>
    </xf>
    <xf numFmtId="37" fontId="59" fillId="0" borderId="0" xfId="0" applyNumberFormat="1" applyFont="1" applyFill="1" applyBorder="1" applyAlignment="1">
      <alignment/>
    </xf>
    <xf numFmtId="37" fontId="59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41" fontId="59" fillId="0" borderId="0" xfId="0" applyNumberFormat="1" applyFont="1" applyFill="1" applyAlignment="1">
      <alignment/>
    </xf>
    <xf numFmtId="37" fontId="59" fillId="0" borderId="0" xfId="0" applyNumberFormat="1" applyFont="1" applyFill="1" applyBorder="1" applyAlignment="1">
      <alignment/>
    </xf>
    <xf numFmtId="37" fontId="59" fillId="33" borderId="0" xfId="0" applyNumberFormat="1" applyFont="1" applyFill="1" applyBorder="1" applyAlignment="1">
      <alignment/>
    </xf>
    <xf numFmtId="182" fontId="59" fillId="0" borderId="10" xfId="0" applyNumberFormat="1" applyFont="1" applyBorder="1" applyAlignment="1">
      <alignment/>
    </xf>
    <xf numFmtId="182" fontId="60" fillId="0" borderId="21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Fill="1" applyAlignment="1">
      <alignment/>
    </xf>
    <xf numFmtId="37" fontId="62" fillId="0" borderId="0" xfId="0" applyNumberFormat="1" applyFont="1" applyAlignment="1">
      <alignment/>
    </xf>
    <xf numFmtId="0" fontId="64" fillId="0" borderId="11" xfId="0" applyFont="1" applyBorder="1" applyAlignment="1">
      <alignment/>
    </xf>
    <xf numFmtId="0" fontId="64" fillId="11" borderId="0" xfId="0" applyFont="1" applyFill="1" applyAlignment="1">
      <alignment/>
    </xf>
    <xf numFmtId="0" fontId="65" fillId="11" borderId="0" xfId="0" applyFont="1" applyFill="1" applyBorder="1" applyAlignment="1">
      <alignment horizontal="center"/>
    </xf>
    <xf numFmtId="0" fontId="65" fillId="0" borderId="31" xfId="0" applyFont="1" applyFill="1" applyBorder="1" applyAlignment="1">
      <alignment/>
    </xf>
    <xf numFmtId="0" fontId="64" fillId="0" borderId="15" xfId="0" applyFont="1" applyBorder="1" applyAlignment="1">
      <alignment/>
    </xf>
    <xf numFmtId="0" fontId="65" fillId="0" borderId="0" xfId="0" applyFont="1" applyBorder="1" applyAlignment="1">
      <alignment horizontal="center"/>
    </xf>
    <xf numFmtId="17" fontId="65" fillId="0" borderId="17" xfId="0" applyNumberFormat="1" applyFont="1" applyBorder="1" applyAlignment="1">
      <alignment horizontal="center"/>
    </xf>
    <xf numFmtId="0" fontId="64" fillId="0" borderId="13" xfId="0" applyFont="1" applyBorder="1" applyAlignment="1">
      <alignment/>
    </xf>
    <xf numFmtId="37" fontId="11" fillId="0" borderId="0" xfId="0" applyNumberFormat="1" applyFont="1" applyFill="1" applyBorder="1" applyAlignment="1">
      <alignment vertical="justify"/>
    </xf>
    <xf numFmtId="37" fontId="38" fillId="34" borderId="11" xfId="0" applyNumberFormat="1" applyFont="1" applyFill="1" applyBorder="1" applyAlignment="1">
      <alignment/>
    </xf>
    <xf numFmtId="3" fontId="62" fillId="0" borderId="0" xfId="0" applyNumberFormat="1" applyFont="1" applyAlignment="1">
      <alignment/>
    </xf>
    <xf numFmtId="6" fontId="62" fillId="0" borderId="0" xfId="0" applyNumberFormat="1" applyFont="1" applyAlignment="1">
      <alignment/>
    </xf>
    <xf numFmtId="164" fontId="62" fillId="0" borderId="0" xfId="42" applyNumberFormat="1" applyFont="1" applyAlignment="1">
      <alignment/>
    </xf>
    <xf numFmtId="37" fontId="64" fillId="0" borderId="0" xfId="0" applyNumberFormat="1" applyFont="1" applyFill="1" applyBorder="1" applyAlignment="1">
      <alignment/>
    </xf>
    <xf numFmtId="37" fontId="38" fillId="34" borderId="0" xfId="0" applyNumberFormat="1" applyFont="1" applyFill="1" applyBorder="1" applyAlignment="1">
      <alignment/>
    </xf>
    <xf numFmtId="37" fontId="11" fillId="0" borderId="17" xfId="0" applyNumberFormat="1" applyFont="1" applyFill="1" applyBorder="1" applyAlignment="1">
      <alignment vertical="justify"/>
    </xf>
    <xf numFmtId="37" fontId="65" fillId="34" borderId="32" xfId="0" applyNumberFormat="1" applyFont="1" applyFill="1" applyBorder="1" applyAlignment="1">
      <alignment/>
    </xf>
    <xf numFmtId="0" fontId="64" fillId="0" borderId="2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Fill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0" xfId="0" applyFont="1" applyFill="1" applyAlignment="1">
      <alignment/>
    </xf>
    <xf numFmtId="0" fontId="64" fillId="0" borderId="16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17" fontId="56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64" fontId="59" fillId="0" borderId="0" xfId="42" applyNumberFormat="1" applyFont="1" applyFill="1" applyBorder="1" applyAlignment="1">
      <alignment/>
    </xf>
    <xf numFmtId="164" fontId="59" fillId="33" borderId="0" xfId="42" applyNumberFormat="1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vertical="justify"/>
    </xf>
    <xf numFmtId="37" fontId="4" fillId="34" borderId="15" xfId="65" applyNumberFormat="1" applyFont="1" applyFill="1" applyBorder="1" applyAlignment="1">
      <alignment/>
    </xf>
    <xf numFmtId="37" fontId="4" fillId="34" borderId="20" xfId="65" applyNumberFormat="1" applyFont="1" applyFill="1" applyBorder="1" applyAlignment="1">
      <alignment/>
    </xf>
    <xf numFmtId="37" fontId="60" fillId="0" borderId="13" xfId="0" applyNumberFormat="1" applyFont="1" applyFill="1" applyBorder="1" applyAlignment="1">
      <alignment/>
    </xf>
    <xf numFmtId="9" fontId="60" fillId="0" borderId="13" xfId="65" applyFont="1" applyBorder="1" applyAlignment="1">
      <alignment/>
    </xf>
    <xf numFmtId="37" fontId="39" fillId="34" borderId="11" xfId="0" applyNumberFormat="1" applyFont="1" applyFill="1" applyBorder="1" applyAlignment="1">
      <alignment/>
    </xf>
    <xf numFmtId="37" fontId="59" fillId="0" borderId="0" xfId="0" applyNumberFormat="1" applyFont="1" applyFill="1" applyBorder="1" applyAlignment="1">
      <alignment/>
    </xf>
    <xf numFmtId="37" fontId="59" fillId="0" borderId="16" xfId="42" applyNumberFormat="1" applyFont="1" applyFill="1" applyBorder="1" applyAlignment="1">
      <alignment/>
    </xf>
    <xf numFmtId="37" fontId="60" fillId="0" borderId="0" xfId="0" applyNumberFormat="1" applyFont="1" applyFill="1" applyBorder="1" applyAlignment="1">
      <alignment/>
    </xf>
    <xf numFmtId="37" fontId="4" fillId="34" borderId="15" xfId="0" applyNumberFormat="1" applyFont="1" applyFill="1" applyBorder="1" applyAlignment="1">
      <alignment/>
    </xf>
    <xf numFmtId="37" fontId="4" fillId="0" borderId="17" xfId="42" applyNumberFormat="1" applyFont="1" applyFill="1" applyBorder="1" applyAlignment="1">
      <alignment vertical="justify"/>
    </xf>
    <xf numFmtId="37" fontId="4" fillId="34" borderId="20" xfId="0" applyNumberFormat="1" applyFont="1" applyFill="1" applyBorder="1" applyAlignment="1">
      <alignment/>
    </xf>
    <xf numFmtId="9" fontId="60" fillId="0" borderId="25" xfId="65" applyFont="1" applyBorder="1" applyAlignment="1">
      <alignment/>
    </xf>
    <xf numFmtId="37" fontId="60" fillId="34" borderId="32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 vertical="justify"/>
    </xf>
    <xf numFmtId="37" fontId="60" fillId="33" borderId="17" xfId="0" applyNumberFormat="1" applyFont="1" applyFill="1" applyBorder="1" applyAlignment="1">
      <alignment/>
    </xf>
    <xf numFmtId="9" fontId="60" fillId="0" borderId="16" xfId="0" applyNumberFormat="1" applyFont="1" applyBorder="1" applyAlignment="1">
      <alignment/>
    </xf>
    <xf numFmtId="9" fontId="0" fillId="11" borderId="0" xfId="65" applyFont="1" applyFill="1" applyBorder="1" applyAlignment="1">
      <alignment/>
    </xf>
    <xf numFmtId="37" fontId="60" fillId="35" borderId="20" xfId="0" applyNumberFormat="1" applyFont="1" applyFill="1" applyBorder="1" applyAlignment="1">
      <alignment/>
    </xf>
    <xf numFmtId="37" fontId="60" fillId="0" borderId="23" xfId="0" applyNumberFormat="1" applyFont="1" applyFill="1" applyBorder="1" applyAlignment="1">
      <alignment/>
    </xf>
    <xf numFmtId="9" fontId="60" fillId="0" borderId="13" xfId="65" applyFont="1" applyBorder="1" applyAlignment="1">
      <alignment/>
    </xf>
    <xf numFmtId="37" fontId="60" fillId="33" borderId="23" xfId="0" applyNumberFormat="1" applyFont="1" applyFill="1" applyBorder="1" applyAlignment="1">
      <alignment/>
    </xf>
    <xf numFmtId="0" fontId="60" fillId="37" borderId="21" xfId="0" applyFont="1" applyFill="1" applyBorder="1" applyAlignment="1">
      <alignment horizontal="center"/>
    </xf>
    <xf numFmtId="0" fontId="60" fillId="37" borderId="26" xfId="0" applyFont="1" applyFill="1" applyBorder="1" applyAlignment="1">
      <alignment horizontal="center"/>
    </xf>
    <xf numFmtId="0" fontId="60" fillId="37" borderId="22" xfId="0" applyFont="1" applyFill="1" applyBorder="1" applyAlignment="1">
      <alignment horizontal="center"/>
    </xf>
    <xf numFmtId="0" fontId="60" fillId="8" borderId="21" xfId="0" applyFont="1" applyFill="1" applyBorder="1" applyAlignment="1">
      <alignment horizontal="center"/>
    </xf>
    <xf numFmtId="0" fontId="60" fillId="8" borderId="26" xfId="0" applyFont="1" applyFill="1" applyBorder="1" applyAlignment="1">
      <alignment horizontal="center"/>
    </xf>
    <xf numFmtId="0" fontId="60" fillId="8" borderId="22" xfId="0" applyFont="1" applyFill="1" applyBorder="1" applyAlignment="1">
      <alignment horizontal="center"/>
    </xf>
    <xf numFmtId="0" fontId="65" fillId="37" borderId="21" xfId="0" applyFont="1" applyFill="1" applyBorder="1" applyAlignment="1">
      <alignment horizontal="center"/>
    </xf>
    <xf numFmtId="0" fontId="65" fillId="37" borderId="26" xfId="0" applyFont="1" applyFill="1" applyBorder="1" applyAlignment="1">
      <alignment horizontal="center"/>
    </xf>
    <xf numFmtId="0" fontId="65" fillId="37" borderId="22" xfId="0" applyFont="1" applyFill="1" applyBorder="1" applyAlignment="1">
      <alignment horizontal="center"/>
    </xf>
    <xf numFmtId="0" fontId="65" fillId="8" borderId="21" xfId="0" applyFont="1" applyFill="1" applyBorder="1" applyAlignment="1">
      <alignment horizontal="center"/>
    </xf>
    <xf numFmtId="0" fontId="65" fillId="8" borderId="26" xfId="0" applyFont="1" applyFill="1" applyBorder="1" applyAlignment="1">
      <alignment horizontal="center"/>
    </xf>
    <xf numFmtId="0" fontId="65" fillId="8" borderId="22" xfId="0" applyFont="1" applyFill="1" applyBorder="1" applyAlignment="1">
      <alignment horizontal="center"/>
    </xf>
    <xf numFmtId="182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82" fontId="0" fillId="0" borderId="0" xfId="65" applyNumberFormat="1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fh-fc-its-f00\Finance\2023%20Profitstar%20Financials\CONSOL%20Financials\Group%20Consol%20Report-March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 Excl SVG"/>
      <sheetName val="Balance Sheet "/>
      <sheetName val="Inc Statement Excl SVG"/>
      <sheetName val="Inc Statement "/>
      <sheetName val="Sheet1"/>
      <sheetName val="Sheet2"/>
      <sheetName val="Sheet2 (2)"/>
    </sheetNames>
    <sheetDataSet>
      <sheetData sheetId="1">
        <row r="47">
          <cell r="C47">
            <v>-38061928</v>
          </cell>
        </row>
        <row r="52">
          <cell r="C52">
            <v>280752358.61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42.00390625" style="0" customWidth="1"/>
    <col min="2" max="3" width="12.8515625" style="0" bestFit="1" customWidth="1"/>
    <col min="4" max="5" width="14.28125" style="0" bestFit="1" customWidth="1"/>
    <col min="6" max="6" width="1.7109375" style="0" customWidth="1"/>
    <col min="9" max="9" width="1.57421875" style="0" customWidth="1"/>
    <col min="10" max="10" width="14.28125" style="164" bestFit="1" customWidth="1"/>
  </cols>
  <sheetData>
    <row r="1" ht="14.25">
      <c r="A1" s="5" t="s">
        <v>84</v>
      </c>
    </row>
    <row r="2" ht="14.25">
      <c r="A2" s="5" t="s">
        <v>28</v>
      </c>
    </row>
    <row r="3" ht="14.25">
      <c r="A3" s="6" t="s">
        <v>138</v>
      </c>
    </row>
    <row r="4" ht="14.25">
      <c r="A4" s="11" t="s">
        <v>85</v>
      </c>
    </row>
    <row r="5" ht="14.25">
      <c r="A5" s="10"/>
    </row>
    <row r="6" spans="1:10" ht="26.25">
      <c r="A6" s="13"/>
      <c r="B6" s="93" t="s">
        <v>29</v>
      </c>
      <c r="C6" s="16" t="s">
        <v>29</v>
      </c>
      <c r="D6" s="15" t="s">
        <v>3</v>
      </c>
      <c r="E6" s="17" t="s">
        <v>30</v>
      </c>
      <c r="F6" s="18"/>
      <c r="G6" s="19" t="s">
        <v>31</v>
      </c>
      <c r="H6" s="17" t="s">
        <v>32</v>
      </c>
      <c r="I6" s="134"/>
      <c r="J6" s="166" t="s">
        <v>2</v>
      </c>
    </row>
    <row r="7" spans="1:10" ht="14.25">
      <c r="A7" s="20"/>
      <c r="B7" s="87">
        <v>40725</v>
      </c>
      <c r="C7" s="23">
        <v>40756</v>
      </c>
      <c r="D7" s="22">
        <v>40391</v>
      </c>
      <c r="E7" s="24">
        <v>40756</v>
      </c>
      <c r="F7" s="25"/>
      <c r="G7" s="26" t="s">
        <v>10</v>
      </c>
      <c r="H7" s="27" t="s">
        <v>10</v>
      </c>
      <c r="I7" s="58"/>
      <c r="J7" s="167">
        <v>40543</v>
      </c>
    </row>
    <row r="8" spans="1:10" ht="14.25">
      <c r="A8" s="40" t="s">
        <v>33</v>
      </c>
      <c r="B8" s="147"/>
      <c r="C8" s="99"/>
      <c r="D8" s="100"/>
      <c r="E8" s="101"/>
      <c r="F8" s="36"/>
      <c r="G8" s="147"/>
      <c r="H8" s="101"/>
      <c r="I8" s="29"/>
      <c r="J8" s="168"/>
    </row>
    <row r="9" spans="1:10" ht="14.25">
      <c r="A9" s="20" t="s">
        <v>34</v>
      </c>
      <c r="B9" s="37">
        <v>189807342</v>
      </c>
      <c r="C9" s="38">
        <v>189807342</v>
      </c>
      <c r="D9" s="129">
        <v>101375858.41</v>
      </c>
      <c r="E9" s="152">
        <v>120541644</v>
      </c>
      <c r="F9" s="36"/>
      <c r="G9" s="148">
        <f>IF(D9=0,0,C9/D9-1)</f>
        <v>0.8723130435290782</v>
      </c>
      <c r="H9" s="69">
        <f>IF(E9=0,0,C9/E9-1)</f>
        <v>0.5746204855145332</v>
      </c>
      <c r="I9" s="68"/>
      <c r="J9" s="170">
        <v>221075863.91999996</v>
      </c>
    </row>
    <row r="10" spans="1:10" ht="14.25">
      <c r="A10" s="20" t="s">
        <v>35</v>
      </c>
      <c r="B10" s="37">
        <v>634403888</v>
      </c>
      <c r="C10" s="38">
        <v>634403888</v>
      </c>
      <c r="D10" s="129">
        <v>192901240.70000002</v>
      </c>
      <c r="E10" s="152">
        <f>267233210+82206558</f>
        <v>349439768</v>
      </c>
      <c r="F10" s="36"/>
      <c r="G10" s="148">
        <f aca="true" t="shared" si="0" ref="G10:G61">IF(D10=0,0,C10/D10-1)</f>
        <v>2.288749650846595</v>
      </c>
      <c r="H10" s="69">
        <f aca="true" t="shared" si="1" ref="H10:H61">IF(E10=0,0,C10/E10-1)</f>
        <v>0.8154885221878925</v>
      </c>
      <c r="I10" s="68"/>
      <c r="J10" s="170">
        <v>652551731.1</v>
      </c>
    </row>
    <row r="11" spans="1:10" ht="14.25">
      <c r="A11" s="20" t="s">
        <v>36</v>
      </c>
      <c r="B11" s="37">
        <v>1164437</v>
      </c>
      <c r="C11" s="38">
        <v>1164437</v>
      </c>
      <c r="D11" s="129">
        <v>2124243</v>
      </c>
      <c r="E11" s="152">
        <v>2502019</v>
      </c>
      <c r="F11" s="36"/>
      <c r="G11" s="148">
        <f t="shared" si="0"/>
        <v>-0.4518343711147924</v>
      </c>
      <c r="H11" s="69">
        <f t="shared" si="1"/>
        <v>-0.5346010561870234</v>
      </c>
      <c r="I11" s="68"/>
      <c r="J11" s="170">
        <v>2319511</v>
      </c>
    </row>
    <row r="12" spans="1:10" ht="14.25">
      <c r="A12" s="20" t="s">
        <v>37</v>
      </c>
      <c r="B12" s="37">
        <v>3930747</v>
      </c>
      <c r="C12" s="38">
        <v>3930747</v>
      </c>
      <c r="D12" s="129">
        <v>14279249</v>
      </c>
      <c r="E12" s="152">
        <v>29441453</v>
      </c>
      <c r="F12" s="36"/>
      <c r="G12" s="148">
        <f t="shared" si="0"/>
        <v>-0.7247231279460145</v>
      </c>
      <c r="H12" s="69">
        <f t="shared" si="1"/>
        <v>-0.866489367899064</v>
      </c>
      <c r="I12" s="68"/>
      <c r="J12" s="170">
        <v>15931751</v>
      </c>
    </row>
    <row r="13" spans="1:10" ht="14.25">
      <c r="A13" s="20" t="s">
        <v>38</v>
      </c>
      <c r="B13" s="37">
        <v>1252340552</v>
      </c>
      <c r="C13" s="38">
        <v>1252340552</v>
      </c>
      <c r="D13" s="129">
        <v>1249421113.09</v>
      </c>
      <c r="E13" s="152">
        <v>1728895497</v>
      </c>
      <c r="F13" s="36"/>
      <c r="G13" s="148">
        <f t="shared" si="0"/>
        <v>0.002336633245119346</v>
      </c>
      <c r="H13" s="69">
        <f t="shared" si="1"/>
        <v>-0.2756412668243533</v>
      </c>
      <c r="I13" s="68"/>
      <c r="J13" s="170">
        <v>1651510053.165</v>
      </c>
    </row>
    <row r="14" spans="1:10" ht="14.25">
      <c r="A14" s="20" t="s">
        <v>39</v>
      </c>
      <c r="B14" s="37">
        <v>185205445</v>
      </c>
      <c r="C14" s="38">
        <v>185205445</v>
      </c>
      <c r="D14" s="129">
        <v>90859479.01</v>
      </c>
      <c r="E14" s="152">
        <v>114064888</v>
      </c>
      <c r="F14" s="36"/>
      <c r="G14" s="148">
        <f t="shared" si="0"/>
        <v>1.0383722977281904</v>
      </c>
      <c r="H14" s="69">
        <f t="shared" si="1"/>
        <v>0.6236849765722823</v>
      </c>
      <c r="I14" s="68"/>
      <c r="J14" s="170">
        <v>140434330</v>
      </c>
    </row>
    <row r="15" spans="1:10" ht="14.25">
      <c r="A15" s="20" t="s">
        <v>40</v>
      </c>
      <c r="B15" s="37">
        <v>-56680151</v>
      </c>
      <c r="C15" s="38">
        <v>-56680151</v>
      </c>
      <c r="D15" s="129">
        <v>-21412010.1</v>
      </c>
      <c r="E15" s="152">
        <v>-33556403</v>
      </c>
      <c r="F15" s="36"/>
      <c r="G15" s="148">
        <f t="shared" si="0"/>
        <v>1.6471195714595703</v>
      </c>
      <c r="H15" s="69">
        <f t="shared" si="1"/>
        <v>0.6891009146600129</v>
      </c>
      <c r="I15" s="68"/>
      <c r="J15" s="170">
        <v>-31884212.1</v>
      </c>
    </row>
    <row r="16" spans="1:10" ht="14.25">
      <c r="A16" s="20" t="s">
        <v>41</v>
      </c>
      <c r="B16" s="37">
        <v>-983723</v>
      </c>
      <c r="C16" s="38">
        <v>-983723</v>
      </c>
      <c r="D16" s="129">
        <v>-1425484</v>
      </c>
      <c r="E16" s="153">
        <v>0</v>
      </c>
      <c r="F16" s="36"/>
      <c r="G16" s="148">
        <f t="shared" si="0"/>
        <v>-0.30990246119914355</v>
      </c>
      <c r="H16" s="69">
        <f t="shared" si="1"/>
        <v>0</v>
      </c>
      <c r="I16" s="68"/>
      <c r="J16" s="170">
        <v>-1210038</v>
      </c>
    </row>
    <row r="17" spans="1:10" ht="14.25">
      <c r="A17" s="20" t="s">
        <v>42</v>
      </c>
      <c r="B17" s="37">
        <v>23052444</v>
      </c>
      <c r="C17" s="38">
        <v>23052444</v>
      </c>
      <c r="D17" s="129">
        <v>43196910.15</v>
      </c>
      <c r="E17" s="152">
        <v>141351606</v>
      </c>
      <c r="F17" s="36"/>
      <c r="G17" s="148">
        <f t="shared" si="0"/>
        <v>-0.466340441481785</v>
      </c>
      <c r="H17" s="69">
        <f t="shared" si="1"/>
        <v>-0.8369141699033826</v>
      </c>
      <c r="I17" s="68"/>
      <c r="J17" s="170">
        <v>87466044.08</v>
      </c>
    </row>
    <row r="18" spans="1:10" ht="14.25">
      <c r="A18" s="20" t="s">
        <v>43</v>
      </c>
      <c r="B18" s="37">
        <v>332599208.4</v>
      </c>
      <c r="C18" s="38">
        <v>332599208.4</v>
      </c>
      <c r="D18" s="129">
        <v>268704228.34000003</v>
      </c>
      <c r="E18" s="152">
        <v>407187314</v>
      </c>
      <c r="F18" s="36"/>
      <c r="G18" s="148">
        <f t="shared" si="0"/>
        <v>0.2377892616529711</v>
      </c>
      <c r="H18" s="69">
        <f t="shared" si="1"/>
        <v>-0.183178854142789</v>
      </c>
      <c r="I18" s="68"/>
      <c r="J18" s="170">
        <v>291807449.64900005</v>
      </c>
    </row>
    <row r="19" spans="1:10" ht="14.25">
      <c r="A19" s="20" t="s">
        <v>44</v>
      </c>
      <c r="B19" s="37">
        <v>13903371.42</v>
      </c>
      <c r="C19" s="38">
        <v>13903371.42</v>
      </c>
      <c r="D19" s="129">
        <v>28766938.3</v>
      </c>
      <c r="E19" s="152">
        <v>15723180</v>
      </c>
      <c r="F19" s="36"/>
      <c r="G19" s="148">
        <f t="shared" si="0"/>
        <v>-0.5166892188870861</v>
      </c>
      <c r="H19" s="69">
        <f t="shared" si="1"/>
        <v>-0.11574049142730669</v>
      </c>
      <c r="I19" s="68"/>
      <c r="J19" s="170">
        <v>4709193.9</v>
      </c>
    </row>
    <row r="20" spans="1:10" ht="14.25">
      <c r="A20" s="20" t="s">
        <v>45</v>
      </c>
      <c r="B20" s="37">
        <v>91546004.17999999</v>
      </c>
      <c r="C20" s="38">
        <v>91546004.17999999</v>
      </c>
      <c r="D20" s="129">
        <v>66910857</v>
      </c>
      <c r="E20" s="152">
        <v>58421559</v>
      </c>
      <c r="F20" s="36"/>
      <c r="G20" s="148">
        <f t="shared" si="0"/>
        <v>0.3681786227906181</v>
      </c>
      <c r="H20" s="69">
        <f t="shared" si="1"/>
        <v>0.5669900931606429</v>
      </c>
      <c r="I20" s="68"/>
      <c r="J20" s="170">
        <v>68250568</v>
      </c>
    </row>
    <row r="21" spans="1:10" ht="14.25">
      <c r="A21" s="20" t="s">
        <v>46</v>
      </c>
      <c r="B21" s="37">
        <v>10602903</v>
      </c>
      <c r="C21" s="38">
        <v>10602903</v>
      </c>
      <c r="D21" s="129">
        <v>6512255</v>
      </c>
      <c r="E21" s="152">
        <f>383230+10929026</f>
        <v>11312256</v>
      </c>
      <c r="F21" s="36"/>
      <c r="G21" s="148">
        <f t="shared" si="0"/>
        <v>0.628146164423844</v>
      </c>
      <c r="H21" s="69">
        <f t="shared" si="1"/>
        <v>-0.0627065900913133</v>
      </c>
      <c r="I21" s="68"/>
      <c r="J21" s="170">
        <v>13312255</v>
      </c>
    </row>
    <row r="22" spans="1:10" ht="14.25">
      <c r="A22" s="20" t="s">
        <v>47</v>
      </c>
      <c r="B22" s="37">
        <v>42000000</v>
      </c>
      <c r="C22" s="38">
        <v>42000000</v>
      </c>
      <c r="D22" s="39">
        <v>0</v>
      </c>
      <c r="E22" s="153">
        <v>0</v>
      </c>
      <c r="F22" s="36"/>
      <c r="G22" s="148">
        <f t="shared" si="0"/>
        <v>0</v>
      </c>
      <c r="H22" s="69">
        <f t="shared" si="1"/>
        <v>0</v>
      </c>
      <c r="I22" s="68"/>
      <c r="J22" s="170">
        <v>0</v>
      </c>
    </row>
    <row r="23" spans="1:10" ht="14.25">
      <c r="A23" s="20" t="s">
        <v>48</v>
      </c>
      <c r="B23" s="37">
        <v>91429575</v>
      </c>
      <c r="C23" s="38">
        <v>91429575</v>
      </c>
      <c r="D23" s="206">
        <v>78350514.78</v>
      </c>
      <c r="E23" s="152">
        <v>126619783</v>
      </c>
      <c r="F23" s="36"/>
      <c r="G23" s="148">
        <f t="shared" si="0"/>
        <v>0.16693011215975573</v>
      </c>
      <c r="H23" s="69">
        <f t="shared" si="1"/>
        <v>-0.2779202993895512</v>
      </c>
      <c r="I23" s="68"/>
      <c r="J23" s="170">
        <v>111254209.38</v>
      </c>
    </row>
    <row r="24" spans="1:10" ht="14.25">
      <c r="A24" s="20" t="s">
        <v>95</v>
      </c>
      <c r="B24" s="37">
        <v>0</v>
      </c>
      <c r="C24" s="38">
        <v>0</v>
      </c>
      <c r="D24" s="8">
        <v>0</v>
      </c>
      <c r="E24" s="154">
        <v>0</v>
      </c>
      <c r="F24" s="36"/>
      <c r="G24" s="148">
        <f>IF(D24=0,0,C24/D24-1)</f>
        <v>0</v>
      </c>
      <c r="H24" s="69">
        <f>IF(E24=0,0,C24/E24-1)</f>
        <v>0</v>
      </c>
      <c r="I24" s="68"/>
      <c r="J24" s="170">
        <v>0</v>
      </c>
    </row>
    <row r="25" spans="1:10" ht="14.25">
      <c r="A25" s="20" t="s">
        <v>49</v>
      </c>
      <c r="B25" s="37">
        <v>0</v>
      </c>
      <c r="C25" s="38">
        <v>0</v>
      </c>
      <c r="D25" s="61">
        <v>0</v>
      </c>
      <c r="E25" s="153">
        <v>0</v>
      </c>
      <c r="F25" s="36"/>
      <c r="G25" s="148">
        <f t="shared" si="0"/>
        <v>0</v>
      </c>
      <c r="H25" s="69">
        <f t="shared" si="1"/>
        <v>0</v>
      </c>
      <c r="I25" s="68"/>
      <c r="J25" s="170">
        <v>0</v>
      </c>
    </row>
    <row r="26" spans="1:10" ht="14.25">
      <c r="A26" s="20" t="s">
        <v>50</v>
      </c>
      <c r="B26" s="37"/>
      <c r="C26" s="38"/>
      <c r="D26" s="61">
        <v>0</v>
      </c>
      <c r="E26" s="153">
        <v>0</v>
      </c>
      <c r="F26" s="36"/>
      <c r="G26" s="148">
        <f t="shared" si="0"/>
        <v>0</v>
      </c>
      <c r="H26" s="69">
        <f t="shared" si="1"/>
        <v>0</v>
      </c>
      <c r="I26" s="68"/>
      <c r="J26" s="170">
        <v>0</v>
      </c>
    </row>
    <row r="27" spans="1:10" ht="14.25">
      <c r="A27" s="20" t="s">
        <v>51</v>
      </c>
      <c r="B27" s="37">
        <v>1992625</v>
      </c>
      <c r="C27" s="38">
        <v>1992625</v>
      </c>
      <c r="D27" s="129">
        <v>1569339</v>
      </c>
      <c r="E27" s="221">
        <v>1532005</v>
      </c>
      <c r="F27" s="36"/>
      <c r="G27" s="148">
        <f t="shared" si="0"/>
        <v>0.2697224755135761</v>
      </c>
      <c r="H27" s="69">
        <f t="shared" si="1"/>
        <v>0.3006648150626141</v>
      </c>
      <c r="I27" s="68"/>
      <c r="J27" s="170">
        <v>1921040</v>
      </c>
    </row>
    <row r="28" spans="1:10" ht="14.25">
      <c r="A28" s="20" t="s">
        <v>52</v>
      </c>
      <c r="B28" s="37">
        <v>7070654</v>
      </c>
      <c r="C28" s="38">
        <v>7070654</v>
      </c>
      <c r="D28" s="206">
        <v>5607112</v>
      </c>
      <c r="E28" s="221">
        <v>7837599</v>
      </c>
      <c r="F28" s="36"/>
      <c r="G28" s="148">
        <f t="shared" si="0"/>
        <v>0.2610152962879999</v>
      </c>
      <c r="H28" s="69">
        <f t="shared" si="1"/>
        <v>-0.09785458531369107</v>
      </c>
      <c r="I28" s="68"/>
      <c r="J28" s="170">
        <v>10266659</v>
      </c>
    </row>
    <row r="29" spans="1:10" ht="14.25">
      <c r="A29" s="20" t="s">
        <v>53</v>
      </c>
      <c r="B29" s="37">
        <v>42495815</v>
      </c>
      <c r="C29" s="38">
        <v>42495815</v>
      </c>
      <c r="D29" s="206">
        <v>53034209.7</v>
      </c>
      <c r="E29" s="152">
        <f>100388899-E28-E27</f>
        <v>91019295</v>
      </c>
      <c r="F29" s="36"/>
      <c r="G29" s="148">
        <f t="shared" si="0"/>
        <v>-0.19870937569566538</v>
      </c>
      <c r="H29" s="69">
        <f t="shared" si="1"/>
        <v>-0.5331120176221975</v>
      </c>
      <c r="I29" s="68"/>
      <c r="J29" s="170">
        <v>37916004</v>
      </c>
    </row>
    <row r="30" spans="1:10" ht="14.25">
      <c r="A30" s="20" t="s">
        <v>54</v>
      </c>
      <c r="B30" s="37">
        <v>13922710</v>
      </c>
      <c r="C30" s="38">
        <v>13922710</v>
      </c>
      <c r="D30" s="206">
        <v>11217710</v>
      </c>
      <c r="E30" s="152">
        <v>11217710</v>
      </c>
      <c r="F30" s="36"/>
      <c r="G30" s="148">
        <f t="shared" si="0"/>
        <v>0.24113655995742445</v>
      </c>
      <c r="H30" s="69">
        <f t="shared" si="1"/>
        <v>0.24113655995742445</v>
      </c>
      <c r="I30" s="68"/>
      <c r="J30" s="170">
        <v>11217710</v>
      </c>
    </row>
    <row r="31" spans="1:10" ht="14.25">
      <c r="A31" s="20" t="s">
        <v>55</v>
      </c>
      <c r="B31" s="37">
        <v>2005511</v>
      </c>
      <c r="C31" s="38">
        <v>2005511</v>
      </c>
      <c r="D31" s="129">
        <v>281820</v>
      </c>
      <c r="E31" s="152">
        <v>2577234</v>
      </c>
      <c r="F31" s="36"/>
      <c r="G31" s="148">
        <f t="shared" si="0"/>
        <v>6.116283443332624</v>
      </c>
      <c r="H31" s="69">
        <f t="shared" si="1"/>
        <v>-0.2218358907262592</v>
      </c>
      <c r="I31" s="68"/>
      <c r="J31" s="170">
        <v>4037026</v>
      </c>
    </row>
    <row r="32" spans="1:10" ht="14.25">
      <c r="A32" s="20" t="s">
        <v>56</v>
      </c>
      <c r="B32" s="226">
        <v>5832126</v>
      </c>
      <c r="C32" s="33">
        <v>5832126</v>
      </c>
      <c r="D32" s="39">
        <v>0</v>
      </c>
      <c r="E32" s="153">
        <v>0</v>
      </c>
      <c r="F32" s="36"/>
      <c r="G32" s="148">
        <f t="shared" si="0"/>
        <v>0</v>
      </c>
      <c r="H32" s="69">
        <f t="shared" si="1"/>
        <v>0</v>
      </c>
      <c r="I32" s="68"/>
      <c r="J32" s="170">
        <v>2393195</v>
      </c>
    </row>
    <row r="33" spans="1:10" ht="14.25">
      <c r="A33" s="20" t="s">
        <v>57</v>
      </c>
      <c r="B33" s="37">
        <v>3555522</v>
      </c>
      <c r="C33" s="38">
        <v>3555522</v>
      </c>
      <c r="D33" s="129">
        <v>3467247</v>
      </c>
      <c r="E33" s="152">
        <v>3467247</v>
      </c>
      <c r="F33" s="36"/>
      <c r="G33" s="148">
        <f t="shared" si="0"/>
        <v>0.025459680259295014</v>
      </c>
      <c r="H33" s="69">
        <f t="shared" si="1"/>
        <v>0.025459680259295014</v>
      </c>
      <c r="I33" s="68"/>
      <c r="J33" s="170">
        <v>3467247</v>
      </c>
    </row>
    <row r="34" spans="1:10" ht="14.25">
      <c r="A34" s="40" t="s">
        <v>58</v>
      </c>
      <c r="B34" s="159">
        <f>SUM(B9:B33)</f>
        <v>2891197006</v>
      </c>
      <c r="C34" s="85">
        <f>SUM(C9:C33)</f>
        <v>2891197006</v>
      </c>
      <c r="D34" s="128">
        <f>SUM(D9:D33)</f>
        <v>2195742830.3799996</v>
      </c>
      <c r="E34" s="160">
        <f>SUM(E9:E33)</f>
        <v>3189595654</v>
      </c>
      <c r="F34" s="36"/>
      <c r="G34" s="156">
        <f t="shared" si="0"/>
        <v>0.31672842830125214</v>
      </c>
      <c r="H34" s="157">
        <f t="shared" si="1"/>
        <v>-0.09355375425903434</v>
      </c>
      <c r="I34" s="72"/>
      <c r="J34" s="171">
        <f>SUM(J9:J33)</f>
        <v>3298747591.0940003</v>
      </c>
    </row>
    <row r="35" spans="1:10" ht="14.25">
      <c r="A35" s="20"/>
      <c r="B35" s="37"/>
      <c r="C35" s="38"/>
      <c r="D35" s="151"/>
      <c r="E35" s="152"/>
      <c r="F35" s="36"/>
      <c r="G35" s="148"/>
      <c r="H35" s="69"/>
      <c r="I35" s="68"/>
      <c r="J35" s="170"/>
    </row>
    <row r="36" spans="1:10" ht="14.25">
      <c r="A36" s="40" t="s">
        <v>59</v>
      </c>
      <c r="B36" s="37"/>
      <c r="C36" s="38"/>
      <c r="D36" s="151"/>
      <c r="E36" s="152"/>
      <c r="F36" s="36"/>
      <c r="G36" s="148"/>
      <c r="H36" s="69"/>
      <c r="I36" s="68"/>
      <c r="J36" s="170"/>
    </row>
    <row r="37" spans="1:10" ht="14.25">
      <c r="A37" s="20" t="s">
        <v>60</v>
      </c>
      <c r="B37" s="37">
        <v>1940706587</v>
      </c>
      <c r="C37" s="38">
        <v>1940706587</v>
      </c>
      <c r="D37" s="129">
        <v>1336008971.15</v>
      </c>
      <c r="E37" s="152">
        <v>2099534885</v>
      </c>
      <c r="F37" s="36"/>
      <c r="G37" s="148">
        <f t="shared" si="0"/>
        <v>0.4526149366568195</v>
      </c>
      <c r="H37" s="69">
        <f t="shared" si="1"/>
        <v>-0.07564927791137888</v>
      </c>
      <c r="I37" s="68"/>
      <c r="J37" s="170">
        <v>2319353649</v>
      </c>
    </row>
    <row r="38" spans="1:10" ht="14.25">
      <c r="A38" s="20" t="s">
        <v>61</v>
      </c>
      <c r="B38" s="37">
        <v>37919009</v>
      </c>
      <c r="C38" s="38">
        <v>37919009</v>
      </c>
      <c r="D38" s="129">
        <v>14665521</v>
      </c>
      <c r="E38" s="152">
        <v>40209550</v>
      </c>
      <c r="F38" s="36"/>
      <c r="G38" s="148">
        <f t="shared" si="0"/>
        <v>1.5855889470275213</v>
      </c>
      <c r="H38" s="69">
        <f t="shared" si="1"/>
        <v>-0.05696509908715719</v>
      </c>
      <c r="I38" s="68"/>
      <c r="J38" s="170">
        <v>36026491</v>
      </c>
    </row>
    <row r="39" spans="1:10" ht="14.25">
      <c r="A39" s="20" t="s">
        <v>62</v>
      </c>
      <c r="B39" s="37">
        <v>279573871</v>
      </c>
      <c r="C39" s="38">
        <v>279573871</v>
      </c>
      <c r="D39" s="129">
        <v>242835167</v>
      </c>
      <c r="E39" s="152">
        <v>273544350</v>
      </c>
      <c r="F39" s="36"/>
      <c r="G39" s="148">
        <f t="shared" si="0"/>
        <v>0.1512907065886384</v>
      </c>
      <c r="H39" s="69">
        <f t="shared" si="1"/>
        <v>0.022042206318646285</v>
      </c>
      <c r="I39" s="68"/>
      <c r="J39" s="170">
        <v>253550909</v>
      </c>
    </row>
    <row r="40" spans="1:10" ht="14.25">
      <c r="A40" s="20" t="s">
        <v>63</v>
      </c>
      <c r="B40" s="37">
        <v>216339722</v>
      </c>
      <c r="C40" s="38">
        <v>216339722</v>
      </c>
      <c r="D40" s="129">
        <v>184340384</v>
      </c>
      <c r="E40" s="152">
        <v>247501871</v>
      </c>
      <c r="F40" s="36"/>
      <c r="G40" s="148">
        <f t="shared" si="0"/>
        <v>0.17358832235046218</v>
      </c>
      <c r="H40" s="69">
        <f t="shared" si="1"/>
        <v>-0.125906720923334</v>
      </c>
      <c r="I40" s="68"/>
      <c r="J40" s="170">
        <v>206445544</v>
      </c>
    </row>
    <row r="41" spans="1:10" ht="14.25">
      <c r="A41" s="20" t="s">
        <v>64</v>
      </c>
      <c r="B41" s="37">
        <v>11332703</v>
      </c>
      <c r="C41" s="38">
        <v>11332703</v>
      </c>
      <c r="D41" s="129">
        <v>9877833</v>
      </c>
      <c r="E41" s="152">
        <v>7434520</v>
      </c>
      <c r="F41" s="36"/>
      <c r="G41" s="148">
        <f t="shared" si="0"/>
        <v>0.1472863531910289</v>
      </c>
      <c r="H41" s="69">
        <f t="shared" si="1"/>
        <v>0.5243355320854608</v>
      </c>
      <c r="I41" s="68"/>
      <c r="J41" s="170">
        <v>14565887</v>
      </c>
    </row>
    <row r="42" spans="1:10" ht="14.25">
      <c r="A42" s="20" t="s">
        <v>89</v>
      </c>
      <c r="B42" s="37">
        <v>1566930</v>
      </c>
      <c r="C42" s="38">
        <v>1566930</v>
      </c>
      <c r="D42" s="129">
        <v>1527873</v>
      </c>
      <c r="E42" s="221">
        <v>1418065</v>
      </c>
      <c r="F42" s="36"/>
      <c r="G42" s="148">
        <f t="shared" si="0"/>
        <v>0.02556298854682293</v>
      </c>
      <c r="H42" s="69">
        <f t="shared" si="1"/>
        <v>0.10497755744623838</v>
      </c>
      <c r="I42" s="68"/>
      <c r="J42" s="170">
        <v>1236700</v>
      </c>
    </row>
    <row r="43" spans="1:10" ht="14.25">
      <c r="A43" s="20" t="s">
        <v>88</v>
      </c>
      <c r="B43" s="37">
        <v>43848712</v>
      </c>
      <c r="C43" s="38">
        <v>43848712</v>
      </c>
      <c r="D43" s="129">
        <v>35290511.2</v>
      </c>
      <c r="E43" s="152">
        <f>78456192-E42</f>
        <v>77038127</v>
      </c>
      <c r="F43" s="36"/>
      <c r="G43" s="148">
        <f t="shared" si="0"/>
        <v>0.24250713602584462</v>
      </c>
      <c r="H43" s="69">
        <f t="shared" si="1"/>
        <v>-0.4308180415653148</v>
      </c>
      <c r="I43" s="68"/>
      <c r="J43" s="170">
        <v>52762452.6</v>
      </c>
    </row>
    <row r="44" spans="1:10" ht="14.25">
      <c r="A44" s="20" t="s">
        <v>65</v>
      </c>
      <c r="B44" s="37">
        <v>0</v>
      </c>
      <c r="C44" s="38">
        <v>0</v>
      </c>
      <c r="D44" s="225">
        <v>0</v>
      </c>
      <c r="E44" s="154">
        <v>0</v>
      </c>
      <c r="F44" s="36"/>
      <c r="G44" s="148">
        <f t="shared" si="0"/>
        <v>0</v>
      </c>
      <c r="H44" s="69">
        <f t="shared" si="1"/>
        <v>0</v>
      </c>
      <c r="I44" s="68"/>
      <c r="J44" s="170">
        <v>0</v>
      </c>
    </row>
    <row r="45" spans="1:10" ht="14.25">
      <c r="A45" s="20" t="s">
        <v>66</v>
      </c>
      <c r="B45" s="37">
        <v>-7271</v>
      </c>
      <c r="C45" s="38">
        <v>-7271</v>
      </c>
      <c r="D45" s="206">
        <v>-269863</v>
      </c>
      <c r="E45" s="154">
        <v>0</v>
      </c>
      <c r="F45" s="36"/>
      <c r="G45" s="148">
        <f t="shared" si="0"/>
        <v>-0.973056699139934</v>
      </c>
      <c r="H45" s="69">
        <f t="shared" si="1"/>
        <v>0</v>
      </c>
      <c r="I45" s="68"/>
      <c r="J45" s="170">
        <v>0</v>
      </c>
    </row>
    <row r="46" spans="1:10" ht="14.25">
      <c r="A46" s="20" t="s">
        <v>67</v>
      </c>
      <c r="B46" s="37">
        <v>2197310</v>
      </c>
      <c r="C46" s="38">
        <v>2197310</v>
      </c>
      <c r="D46" s="129">
        <v>2772303.2</v>
      </c>
      <c r="E46" s="152">
        <v>5064888</v>
      </c>
      <c r="F46" s="36"/>
      <c r="G46" s="148">
        <f t="shared" si="0"/>
        <v>-0.20740631832766354</v>
      </c>
      <c r="H46" s="69">
        <f t="shared" si="1"/>
        <v>-0.566168096905598</v>
      </c>
      <c r="I46" s="68"/>
      <c r="J46" s="170">
        <v>3089538.0699999994</v>
      </c>
    </row>
    <row r="47" spans="1:10" ht="14.25">
      <c r="A47" s="20" t="s">
        <v>87</v>
      </c>
      <c r="B47" s="37">
        <v>3044434</v>
      </c>
      <c r="C47" s="38">
        <v>3044434</v>
      </c>
      <c r="D47" s="129">
        <v>3259597</v>
      </c>
      <c r="E47" s="152">
        <v>3256560</v>
      </c>
      <c r="F47" s="36"/>
      <c r="G47" s="148">
        <f t="shared" si="0"/>
        <v>-0.06600908026360319</v>
      </c>
      <c r="H47" s="69">
        <f t="shared" si="1"/>
        <v>-0.06513805979315601</v>
      </c>
      <c r="I47" s="68"/>
      <c r="J47" s="170">
        <v>3259597</v>
      </c>
    </row>
    <row r="48" spans="1:10" ht="14.25">
      <c r="A48" s="40" t="s">
        <v>68</v>
      </c>
      <c r="B48" s="159">
        <f>SUM(B37:B47)</f>
        <v>2536522007</v>
      </c>
      <c r="C48" s="85">
        <f>SUM(C37:C47)</f>
        <v>2536522007</v>
      </c>
      <c r="D48" s="128">
        <f>SUM(D37:D47)</f>
        <v>1830308297.5500002</v>
      </c>
      <c r="E48" s="160">
        <f>SUM(E37:E47)</f>
        <v>2755002816</v>
      </c>
      <c r="F48" s="36"/>
      <c r="G48" s="156">
        <f t="shared" si="0"/>
        <v>0.3858441282243641</v>
      </c>
      <c r="H48" s="157">
        <f t="shared" si="1"/>
        <v>-0.0793032978881717</v>
      </c>
      <c r="I48" s="72"/>
      <c r="J48" s="171">
        <f>SUM(J37:J47)</f>
        <v>2890290767.67</v>
      </c>
    </row>
    <row r="49" spans="1:10" ht="14.25">
      <c r="A49" s="20"/>
      <c r="B49" s="37"/>
      <c r="C49" s="38"/>
      <c r="D49" s="151"/>
      <c r="E49" s="152"/>
      <c r="F49" s="36"/>
      <c r="G49" s="148"/>
      <c r="H49" s="69"/>
      <c r="I49" s="68"/>
      <c r="J49" s="170"/>
    </row>
    <row r="50" spans="1:10" ht="14.25">
      <c r="A50" s="40" t="s">
        <v>86</v>
      </c>
      <c r="B50" s="37"/>
      <c r="C50" s="38"/>
      <c r="D50" s="151"/>
      <c r="E50" s="152"/>
      <c r="F50" s="36"/>
      <c r="G50" s="148"/>
      <c r="H50" s="69"/>
      <c r="I50" s="68"/>
      <c r="J50" s="170"/>
    </row>
    <row r="51" spans="1:10" ht="14.25">
      <c r="A51" s="20" t="s">
        <v>69</v>
      </c>
      <c r="B51" s="37">
        <v>174231060</v>
      </c>
      <c r="C51" s="38">
        <v>174231060</v>
      </c>
      <c r="D51" s="129">
        <v>174231060</v>
      </c>
      <c r="E51" s="152">
        <v>175109407</v>
      </c>
      <c r="F51" s="36"/>
      <c r="G51" s="148">
        <f t="shared" si="0"/>
        <v>0</v>
      </c>
      <c r="H51" s="69">
        <f t="shared" si="1"/>
        <v>-0.0050159898034489725</v>
      </c>
      <c r="I51" s="68"/>
      <c r="J51" s="170">
        <v>174231060</v>
      </c>
    </row>
    <row r="52" spans="1:10" ht="14.25">
      <c r="A52" s="20" t="s">
        <v>70</v>
      </c>
      <c r="B52" s="37">
        <v>3117549</v>
      </c>
      <c r="C52" s="38">
        <v>3117549</v>
      </c>
      <c r="D52" s="129">
        <v>3117549</v>
      </c>
      <c r="E52" s="152">
        <v>3117549</v>
      </c>
      <c r="F52" s="36"/>
      <c r="G52" s="148">
        <f t="shared" si="0"/>
        <v>0</v>
      </c>
      <c r="H52" s="69">
        <f t="shared" si="1"/>
        <v>0</v>
      </c>
      <c r="I52" s="68"/>
      <c r="J52" s="170">
        <v>3117548.79</v>
      </c>
    </row>
    <row r="53" spans="1:10" ht="14.25">
      <c r="A53" s="20" t="s">
        <v>71</v>
      </c>
      <c r="B53" s="37">
        <v>-984163</v>
      </c>
      <c r="C53" s="38">
        <v>-984163</v>
      </c>
      <c r="D53" s="129">
        <v>-1048704.9</v>
      </c>
      <c r="E53" s="152">
        <v>-276700</v>
      </c>
      <c r="F53" s="36"/>
      <c r="G53" s="148">
        <f t="shared" si="0"/>
        <v>-0.061544386795560846</v>
      </c>
      <c r="H53" s="69">
        <f t="shared" si="1"/>
        <v>2.5567871340802313</v>
      </c>
      <c r="I53" s="68"/>
      <c r="J53" s="170">
        <v>-543829</v>
      </c>
    </row>
    <row r="54" spans="1:10" ht="14.25">
      <c r="A54" s="20" t="s">
        <v>72</v>
      </c>
      <c r="B54" s="37">
        <v>13855322</v>
      </c>
      <c r="C54" s="38">
        <v>13855322</v>
      </c>
      <c r="D54" s="129">
        <v>13855322</v>
      </c>
      <c r="E54" s="152">
        <v>10762932</v>
      </c>
      <c r="F54" s="36"/>
      <c r="G54" s="148">
        <f t="shared" si="0"/>
        <v>0</v>
      </c>
      <c r="H54" s="69">
        <f t="shared" si="1"/>
        <v>0.28731854851447536</v>
      </c>
      <c r="I54" s="68"/>
      <c r="J54" s="170">
        <v>13855322</v>
      </c>
    </row>
    <row r="55" spans="1:10" ht="14.25">
      <c r="A55" s="20" t="s">
        <v>73</v>
      </c>
      <c r="B55" s="37">
        <v>142357935</v>
      </c>
      <c r="C55" s="38">
        <v>142357935</v>
      </c>
      <c r="D55" s="129">
        <v>139392914</v>
      </c>
      <c r="E55" s="152">
        <v>140251691</v>
      </c>
      <c r="F55" s="36"/>
      <c r="G55" s="148">
        <f t="shared" si="0"/>
        <v>0.0212709592971132</v>
      </c>
      <c r="H55" s="69">
        <f t="shared" si="1"/>
        <v>0.015017601463357844</v>
      </c>
      <c r="I55" s="68"/>
      <c r="J55" s="170">
        <v>136427564.3</v>
      </c>
    </row>
    <row r="56" spans="1:10" ht="14.25">
      <c r="A56" s="20" t="s">
        <v>76</v>
      </c>
      <c r="B56" s="37">
        <v>7914559</v>
      </c>
      <c r="C56" s="38">
        <v>7914559</v>
      </c>
      <c r="D56" s="129">
        <v>11231207</v>
      </c>
      <c r="E56" s="152">
        <v>42149647</v>
      </c>
      <c r="F56" s="36"/>
      <c r="G56" s="148">
        <f t="shared" si="0"/>
        <v>-0.2953064617186737</v>
      </c>
      <c r="H56" s="69">
        <f t="shared" si="1"/>
        <v>-0.8122271581538987</v>
      </c>
      <c r="I56" s="68"/>
      <c r="J56" s="170">
        <v>10453426.380000003</v>
      </c>
    </row>
    <row r="57" spans="1:10" ht="14.25">
      <c r="A57" s="20" t="s">
        <v>74</v>
      </c>
      <c r="B57" s="37">
        <v>13238453</v>
      </c>
      <c r="C57" s="38">
        <v>13238453</v>
      </c>
      <c r="D57" s="129">
        <v>21315295.66</v>
      </c>
      <c r="E57" s="152">
        <v>20114803</v>
      </c>
      <c r="F57" s="36"/>
      <c r="G57" s="148">
        <f t="shared" si="0"/>
        <v>-0.3789223846027572</v>
      </c>
      <c r="H57" s="69">
        <f t="shared" si="1"/>
        <v>-0.3418551998744407</v>
      </c>
      <c r="I57" s="68"/>
      <c r="J57" s="170">
        <v>27952942.95000001</v>
      </c>
    </row>
    <row r="58" spans="1:10" ht="14.25">
      <c r="A58" s="40" t="s">
        <v>90</v>
      </c>
      <c r="B58" s="159">
        <f>SUM(B51:B57)</f>
        <v>353730715</v>
      </c>
      <c r="C58" s="85">
        <f>SUM(C51:C57)</f>
        <v>353730715</v>
      </c>
      <c r="D58" s="128">
        <f>SUM(D51:D57)</f>
        <v>362094642.76000005</v>
      </c>
      <c r="E58" s="160">
        <f>SUM(E51:E57)</f>
        <v>391229329</v>
      </c>
      <c r="F58" s="36"/>
      <c r="G58" s="156">
        <f t="shared" si="0"/>
        <v>-0.023098733790280712</v>
      </c>
      <c r="H58" s="157">
        <f t="shared" si="1"/>
        <v>-0.09584816684334008</v>
      </c>
      <c r="I58" s="72"/>
      <c r="J58" s="171">
        <f>SUM(J51:J57)</f>
        <v>365494035.42</v>
      </c>
    </row>
    <row r="59" spans="1:10" ht="14.25">
      <c r="A59" s="20" t="s">
        <v>26</v>
      </c>
      <c r="B59" s="37">
        <v>944284</v>
      </c>
      <c r="C59" s="38">
        <v>944284</v>
      </c>
      <c r="D59" s="151">
        <v>964776</v>
      </c>
      <c r="E59" s="152">
        <v>43363509</v>
      </c>
      <c r="F59" s="36"/>
      <c r="G59" s="148">
        <f t="shared" si="0"/>
        <v>-0.021240163519822164</v>
      </c>
      <c r="H59" s="69">
        <f t="shared" si="1"/>
        <v>-0.9782239947417539</v>
      </c>
      <c r="I59" s="68"/>
      <c r="J59" s="170">
        <v>42962788</v>
      </c>
    </row>
    <row r="60" spans="1:10" ht="14.25">
      <c r="A60" s="40" t="s">
        <v>91</v>
      </c>
      <c r="B60" s="159">
        <f>+B58+B59</f>
        <v>354674999</v>
      </c>
      <c r="C60" s="85">
        <f>+C58+C59</f>
        <v>354674999</v>
      </c>
      <c r="D60" s="128">
        <f>+D58+D59</f>
        <v>363059418.76000005</v>
      </c>
      <c r="E60" s="160">
        <f>+E58+E59</f>
        <v>434592838</v>
      </c>
      <c r="F60" s="36"/>
      <c r="G60" s="156">
        <f t="shared" si="0"/>
        <v>-0.023093794918298327</v>
      </c>
      <c r="H60" s="157">
        <f t="shared" si="1"/>
        <v>-0.18389129321086506</v>
      </c>
      <c r="I60" s="72"/>
      <c r="J60" s="171">
        <f>+J58+J59</f>
        <v>408456823.42</v>
      </c>
    </row>
    <row r="61" spans="1:10" ht="15" thickBot="1">
      <c r="A61" s="40" t="s">
        <v>92</v>
      </c>
      <c r="B61" s="127">
        <f>+B60+B48</f>
        <v>2891197006</v>
      </c>
      <c r="C61" s="105">
        <f>+C60+C48</f>
        <v>2891197006</v>
      </c>
      <c r="D61" s="107">
        <f>+D60+D48</f>
        <v>2193367716.3100004</v>
      </c>
      <c r="E61" s="158">
        <f>+E60+E48</f>
        <v>3189595654</v>
      </c>
      <c r="F61" s="36"/>
      <c r="G61" s="155">
        <f t="shared" si="0"/>
        <v>0.318154263191212</v>
      </c>
      <c r="H61" s="74">
        <f t="shared" si="1"/>
        <v>-0.09355375425903434</v>
      </c>
      <c r="I61" s="72"/>
      <c r="J61" s="172">
        <f>+J60+J48</f>
        <v>3298747591.09</v>
      </c>
    </row>
    <row r="62" spans="1:10" ht="15" thickTop="1">
      <c r="A62" s="42"/>
      <c r="B62" s="149"/>
      <c r="C62" s="126"/>
      <c r="D62" s="126"/>
      <c r="E62" s="150"/>
      <c r="F62" s="94"/>
      <c r="G62" s="149"/>
      <c r="H62" s="150"/>
      <c r="I62" s="165"/>
      <c r="J62" s="169"/>
    </row>
    <row r="63" ht="14.25" hidden="1">
      <c r="A63" t="s">
        <v>75</v>
      </c>
    </row>
    <row r="66" spans="3:4" ht="14.25">
      <c r="C66" s="163">
        <f>+C61-C34</f>
        <v>0</v>
      </c>
      <c r="D66" s="163">
        <f>+D61-D34</f>
        <v>-2375114.069999218</v>
      </c>
    </row>
    <row r="68" ht="14.25">
      <c r="A68" s="8"/>
    </row>
    <row r="69" ht="14.25">
      <c r="A69" s="8"/>
    </row>
    <row r="70" ht="14.25">
      <c r="A70" s="8"/>
    </row>
    <row r="71" ht="14.25">
      <c r="A71" s="8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8"/>
    </row>
    <row r="80" ht="14.25">
      <c r="A80" s="95"/>
    </row>
    <row r="81" ht="14.25">
      <c r="A81" s="96"/>
    </row>
    <row r="82" ht="14.25">
      <c r="A82" s="96"/>
    </row>
    <row r="83" ht="14.25">
      <c r="A83" s="96"/>
    </row>
    <row r="84" ht="14.25">
      <c r="A84" s="96"/>
    </row>
    <row r="85" ht="14.25">
      <c r="A85" s="96"/>
    </row>
    <row r="86" ht="14.25">
      <c r="A86" s="96"/>
    </row>
    <row r="87" ht="14.25">
      <c r="A87" s="96"/>
    </row>
    <row r="88" ht="14.25">
      <c r="A88" s="96"/>
    </row>
    <row r="89" ht="14.25">
      <c r="A89" s="96"/>
    </row>
    <row r="90" ht="14.25">
      <c r="A90" s="96"/>
    </row>
    <row r="91" ht="14.25">
      <c r="A91" s="96"/>
    </row>
    <row r="92" ht="14.25">
      <c r="A92" s="96"/>
    </row>
    <row r="93" ht="14.25">
      <c r="A93" s="96"/>
    </row>
    <row r="94" ht="14.25">
      <c r="A94" s="8"/>
    </row>
    <row r="95" ht="14.25">
      <c r="A95" s="8"/>
    </row>
    <row r="96" ht="14.25">
      <c r="A96" s="8"/>
    </row>
  </sheetData>
  <sheetProtection/>
  <printOptions/>
  <pageMargins left="0.7" right="0.7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5">
      <selection activeCell="L47" sqref="L47"/>
    </sheetView>
  </sheetViews>
  <sheetFormatPr defaultColWidth="9.140625" defaultRowHeight="15"/>
  <cols>
    <col min="1" max="1" width="39.421875" style="0" customWidth="1"/>
    <col min="2" max="2" width="14.7109375" style="0" customWidth="1"/>
    <col min="3" max="4" width="14.28125" style="0" bestFit="1" customWidth="1"/>
    <col min="5" max="5" width="14.28125" style="0" hidden="1" customWidth="1"/>
    <col min="6" max="6" width="14.28125" style="0" customWidth="1"/>
    <col min="7" max="7" width="1.57421875" style="8" customWidth="1"/>
    <col min="8" max="8" width="11.421875" style="0" customWidth="1"/>
    <col min="9" max="9" width="12.8515625" style="0" customWidth="1"/>
    <col min="10" max="10" width="1.57421875" style="0" customWidth="1"/>
    <col min="11" max="11" width="14.00390625" style="0" customWidth="1"/>
    <col min="12" max="12" width="12.7109375" style="0" customWidth="1"/>
    <col min="13" max="13" width="12.8515625" style="0" bestFit="1" customWidth="1"/>
    <col min="14" max="14" width="11.421875" style="0" bestFit="1" customWidth="1"/>
  </cols>
  <sheetData>
    <row r="1" ht="15">
      <c r="A1" s="5" t="s">
        <v>84</v>
      </c>
    </row>
    <row r="2" spans="1:3" ht="15">
      <c r="A2" s="5" t="s">
        <v>175</v>
      </c>
      <c r="C2" s="163"/>
    </row>
    <row r="3" spans="1:6" ht="15">
      <c r="A3" s="6" t="s">
        <v>186</v>
      </c>
      <c r="C3" s="163"/>
      <c r="E3" s="163"/>
      <c r="F3" s="163"/>
    </row>
    <row r="4" spans="1:6" ht="15">
      <c r="A4" s="11" t="s">
        <v>85</v>
      </c>
      <c r="B4" s="163"/>
      <c r="C4" s="163"/>
      <c r="E4" s="163"/>
      <c r="F4" s="163"/>
    </row>
    <row r="5" spans="1:9" ht="15">
      <c r="A5" s="10"/>
      <c r="B5" s="10"/>
      <c r="C5" s="10"/>
      <c r="D5" s="10"/>
      <c r="E5" s="10"/>
      <c r="F5" s="10"/>
      <c r="G5" s="12"/>
      <c r="H5" s="10"/>
      <c r="I5" s="10"/>
    </row>
    <row r="6" spans="1:11" ht="30.75" customHeight="1">
      <c r="A6" s="13"/>
      <c r="B6" s="14" t="s">
        <v>29</v>
      </c>
      <c r="C6" s="16" t="s">
        <v>29</v>
      </c>
      <c r="D6" s="15" t="s">
        <v>3</v>
      </c>
      <c r="E6" s="134" t="s">
        <v>6</v>
      </c>
      <c r="F6" s="134" t="s">
        <v>6</v>
      </c>
      <c r="G6" s="140"/>
      <c r="H6" s="19" t="s">
        <v>9</v>
      </c>
      <c r="I6" s="17" t="s">
        <v>32</v>
      </c>
      <c r="J6" s="94"/>
      <c r="K6" s="204" t="s">
        <v>178</v>
      </c>
    </row>
    <row r="7" spans="1:11" ht="15">
      <c r="A7" s="20"/>
      <c r="B7" s="21">
        <v>45047</v>
      </c>
      <c r="C7" s="23">
        <v>45078</v>
      </c>
      <c r="D7" s="22">
        <v>44713</v>
      </c>
      <c r="E7" s="22">
        <v>42856</v>
      </c>
      <c r="F7" s="22">
        <v>45261</v>
      </c>
      <c r="G7" s="141"/>
      <c r="H7" s="26" t="s">
        <v>10</v>
      </c>
      <c r="I7" s="27" t="s">
        <v>10</v>
      </c>
      <c r="J7" s="94"/>
      <c r="K7" s="167">
        <v>44926</v>
      </c>
    </row>
    <row r="8" spans="1:13" ht="12" customHeight="1">
      <c r="A8" s="40" t="s">
        <v>33</v>
      </c>
      <c r="B8" s="28"/>
      <c r="C8" s="30"/>
      <c r="D8" s="29"/>
      <c r="E8" s="29"/>
      <c r="F8" s="29"/>
      <c r="G8" s="142"/>
      <c r="H8" s="28"/>
      <c r="I8" s="31"/>
      <c r="J8" s="94"/>
      <c r="K8" s="168"/>
      <c r="L8" s="1"/>
      <c r="M8" s="1"/>
    </row>
    <row r="9" spans="1:14" ht="13.5" customHeight="1">
      <c r="A9" s="20" t="s">
        <v>34</v>
      </c>
      <c r="B9" s="37">
        <v>288321557.63</v>
      </c>
      <c r="C9" s="38">
        <v>263688237</v>
      </c>
      <c r="D9" s="129">
        <v>310789802</v>
      </c>
      <c r="E9" s="135">
        <v>402615273.29872966</v>
      </c>
      <c r="F9" s="135">
        <v>230411761</v>
      </c>
      <c r="G9" s="142"/>
      <c r="H9" s="34">
        <f aca="true" t="shared" si="0" ref="H9:H28">IF(D9=0,0,C9/D9-1)</f>
        <v>-0.15155440975505363</v>
      </c>
      <c r="I9" s="35">
        <f aca="true" t="shared" si="1" ref="I9:I28">IF(E9=0,0,C9/E9-1)</f>
        <v>-0.34506151532818163</v>
      </c>
      <c r="J9" s="173"/>
      <c r="K9" s="170">
        <v>245454800</v>
      </c>
      <c r="L9" s="1">
        <f>+C9-K9</f>
        <v>18233437</v>
      </c>
      <c r="M9" s="203">
        <f>+C9+C10+C11</f>
        <v>569913490</v>
      </c>
      <c r="N9" s="163">
        <f>+K9+K10+K11</f>
        <v>498915917</v>
      </c>
    </row>
    <row r="10" spans="1:13" ht="13.5" customHeight="1">
      <c r="A10" s="20" t="s">
        <v>35</v>
      </c>
      <c r="B10" s="37">
        <v>286606053.54</v>
      </c>
      <c r="C10" s="38">
        <v>291099516</v>
      </c>
      <c r="D10" s="129">
        <v>232415961</v>
      </c>
      <c r="E10" s="135">
        <v>326452777.9257153</v>
      </c>
      <c r="F10" s="135">
        <v>208021979</v>
      </c>
      <c r="G10" s="142"/>
      <c r="H10" s="34">
        <f t="shared" si="0"/>
        <v>0.25249365296387705</v>
      </c>
      <c r="I10" s="35">
        <f t="shared" si="1"/>
        <v>-0.10829517870961414</v>
      </c>
      <c r="J10" s="173"/>
      <c r="K10" s="170">
        <v>223146877</v>
      </c>
      <c r="L10" s="1">
        <f aca="true" t="shared" si="2" ref="L10:L54">+C10-K10</f>
        <v>67952639</v>
      </c>
      <c r="M10" s="8"/>
    </row>
    <row r="11" spans="1:14" ht="13.5" customHeight="1">
      <c r="A11" s="20" t="s">
        <v>36</v>
      </c>
      <c r="B11" s="37">
        <v>15976177</v>
      </c>
      <c r="C11" s="38">
        <v>15125737</v>
      </c>
      <c r="D11" s="129">
        <v>31436997</v>
      </c>
      <c r="E11" s="135">
        <v>9253801</v>
      </c>
      <c r="F11" s="135">
        <v>29533290</v>
      </c>
      <c r="G11" s="142"/>
      <c r="H11" s="34">
        <f t="shared" si="0"/>
        <v>-0.5188555382691292</v>
      </c>
      <c r="I11" s="35">
        <f t="shared" si="1"/>
        <v>0.6345431461082858</v>
      </c>
      <c r="J11" s="173"/>
      <c r="K11" s="170">
        <v>30314240</v>
      </c>
      <c r="L11" s="1">
        <f t="shared" si="2"/>
        <v>-15188503</v>
      </c>
      <c r="M11" s="239">
        <f>+L9+L10+L11</f>
        <v>70997573</v>
      </c>
      <c r="N11" s="315">
        <f>+M11/N9</f>
        <v>0.1423036840093438</v>
      </c>
    </row>
    <row r="12" spans="1:13" ht="13.5" customHeight="1">
      <c r="A12" s="20" t="s">
        <v>37</v>
      </c>
      <c r="B12" s="37">
        <v>0</v>
      </c>
      <c r="C12" s="38">
        <v>0</v>
      </c>
      <c r="D12" s="129">
        <v>4282999</v>
      </c>
      <c r="E12" s="135">
        <v>35812805.86</v>
      </c>
      <c r="F12" s="135">
        <v>1897096</v>
      </c>
      <c r="G12" s="142"/>
      <c r="H12" s="34">
        <f t="shared" si="0"/>
        <v>-1</v>
      </c>
      <c r="I12" s="35">
        <f t="shared" si="1"/>
        <v>-1</v>
      </c>
      <c r="J12" s="173"/>
      <c r="K12" s="170">
        <v>1787492</v>
      </c>
      <c r="L12" s="1">
        <f t="shared" si="2"/>
        <v>-1787492</v>
      </c>
      <c r="M12" s="8"/>
    </row>
    <row r="13" spans="1:13" ht="13.5" customHeight="1">
      <c r="A13" s="20" t="s">
        <v>38</v>
      </c>
      <c r="B13" s="37">
        <v>853900687.91</v>
      </c>
      <c r="C13" s="38">
        <v>874187896</v>
      </c>
      <c r="D13" s="240">
        <v>815348976</v>
      </c>
      <c r="E13" s="135">
        <v>1373355273.5597866</v>
      </c>
      <c r="F13" s="135">
        <v>966756680</v>
      </c>
      <c r="G13" s="142"/>
      <c r="H13" s="34">
        <f t="shared" si="0"/>
        <v>0.07216409381987132</v>
      </c>
      <c r="I13" s="35">
        <f t="shared" si="1"/>
        <v>-0.36346558473972046</v>
      </c>
      <c r="J13" s="173"/>
      <c r="K13" s="170">
        <v>832134866</v>
      </c>
      <c r="L13" s="1">
        <f t="shared" si="2"/>
        <v>42053030</v>
      </c>
      <c r="M13" s="203">
        <f>+C13+C14+C15+C16</f>
        <v>900384296.5699999</v>
      </c>
    </row>
    <row r="14" spans="1:13" ht="13.5" customHeight="1">
      <c r="A14" s="20" t="s">
        <v>39</v>
      </c>
      <c r="B14" s="37">
        <v>99498209.09</v>
      </c>
      <c r="C14" s="38">
        <v>98183740.65</v>
      </c>
      <c r="D14" s="129">
        <v>108531834</v>
      </c>
      <c r="E14" s="135">
        <v>222441657.35893968</v>
      </c>
      <c r="F14" s="135">
        <v>99420998</v>
      </c>
      <c r="G14" s="142"/>
      <c r="H14" s="34">
        <f t="shared" si="0"/>
        <v>-0.09534615760754572</v>
      </c>
      <c r="I14" s="35">
        <f t="shared" si="1"/>
        <v>-0.5586090221780389</v>
      </c>
      <c r="J14" s="173"/>
      <c r="K14" s="170">
        <v>102719839</v>
      </c>
      <c r="L14" s="1">
        <f t="shared" si="2"/>
        <v>-4536098.349999994</v>
      </c>
      <c r="M14" s="8"/>
    </row>
    <row r="15" spans="1:13" ht="13.5" customHeight="1">
      <c r="A15" s="20" t="s">
        <v>40</v>
      </c>
      <c r="B15" s="236">
        <v>-74866418</v>
      </c>
      <c r="C15" s="38">
        <v>-71793801.08</v>
      </c>
      <c r="D15" s="129">
        <v>-85144226</v>
      </c>
      <c r="E15" s="135">
        <v>-118477217.305</v>
      </c>
      <c r="F15" s="135">
        <v>-84301905</v>
      </c>
      <c r="G15" s="142"/>
      <c r="H15" s="34">
        <f t="shared" si="0"/>
        <v>-0.1567977718183733</v>
      </c>
      <c r="I15" s="35">
        <f t="shared" si="1"/>
        <v>-0.39402863509885844</v>
      </c>
      <c r="J15" s="173"/>
      <c r="K15" s="170">
        <v>-73683901</v>
      </c>
      <c r="L15" s="1">
        <f t="shared" si="2"/>
        <v>1890099.9200000018</v>
      </c>
      <c r="M15" s="8"/>
    </row>
    <row r="16" spans="1:13" ht="13.5" customHeight="1">
      <c r="A16" s="20" t="s">
        <v>41</v>
      </c>
      <c r="B16" s="37">
        <v>-193014</v>
      </c>
      <c r="C16" s="38">
        <v>-193539</v>
      </c>
      <c r="D16" s="129">
        <v>-192001</v>
      </c>
      <c r="E16" s="135">
        <v>-190694</v>
      </c>
      <c r="F16" s="135">
        <v>-191572</v>
      </c>
      <c r="G16" s="142"/>
      <c r="H16" s="34">
        <f t="shared" si="0"/>
        <v>0.008010374945963905</v>
      </c>
      <c r="I16" s="35">
        <f t="shared" si="1"/>
        <v>0.014919189906342112</v>
      </c>
      <c r="J16" s="173"/>
      <c r="K16" s="170">
        <v>-190657</v>
      </c>
      <c r="L16" s="1">
        <f t="shared" si="2"/>
        <v>-2882</v>
      </c>
      <c r="M16" s="8"/>
    </row>
    <row r="17" spans="1:14" ht="13.5" customHeight="1">
      <c r="A17" s="20" t="s">
        <v>180</v>
      </c>
      <c r="B17" s="37">
        <v>240177103</v>
      </c>
      <c r="C17" s="38">
        <v>238594431</v>
      </c>
      <c r="D17" s="129">
        <v>162174864</v>
      </c>
      <c r="E17" s="135">
        <v>150883192.2131946</v>
      </c>
      <c r="F17" s="135">
        <v>253168646</v>
      </c>
      <c r="G17" s="142"/>
      <c r="H17" s="34">
        <f t="shared" si="0"/>
        <v>0.4712170870080088</v>
      </c>
      <c r="I17" s="35">
        <f t="shared" si="1"/>
        <v>0.5813188168955981</v>
      </c>
      <c r="J17" s="173"/>
      <c r="K17" s="170">
        <v>245058560</v>
      </c>
      <c r="L17" s="1">
        <f t="shared" si="2"/>
        <v>-6464129</v>
      </c>
      <c r="M17" s="203">
        <f>+C17+C18+C19+C20</f>
        <v>1009471695</v>
      </c>
      <c r="N17" s="1">
        <f>+L17+L18+L19</f>
        <v>10557134</v>
      </c>
    </row>
    <row r="18" spans="1:14" ht="13.5" customHeight="1">
      <c r="A18" s="20" t="s">
        <v>181</v>
      </c>
      <c r="B18" s="37">
        <v>739906870</v>
      </c>
      <c r="C18" s="38">
        <v>722231812</v>
      </c>
      <c r="D18" s="129">
        <v>669922657</v>
      </c>
      <c r="E18" s="135">
        <v>370880067.65640634</v>
      </c>
      <c r="F18" s="135">
        <v>664408230</v>
      </c>
      <c r="G18" s="142"/>
      <c r="H18" s="34">
        <f t="shared" si="0"/>
        <v>0.07808237929173378</v>
      </c>
      <c r="I18" s="35">
        <f t="shared" si="1"/>
        <v>0.9473459885935303</v>
      </c>
      <c r="J18" s="173"/>
      <c r="K18" s="170">
        <v>725107516</v>
      </c>
      <c r="L18" s="1">
        <f t="shared" si="2"/>
        <v>-2875704</v>
      </c>
      <c r="M18" s="203">
        <f>+K17+K18+K19</f>
        <v>998914561</v>
      </c>
      <c r="N18" s="315">
        <f>+N17/M18</f>
        <v>0.010568605576668534</v>
      </c>
    </row>
    <row r="19" spans="1:13" ht="13.5" customHeight="1">
      <c r="A19" s="20" t="s">
        <v>182</v>
      </c>
      <c r="B19" s="37">
        <v>31142238</v>
      </c>
      <c r="C19" s="38">
        <v>48645452</v>
      </c>
      <c r="D19" s="129">
        <v>26178521</v>
      </c>
      <c r="E19" s="135">
        <v>21548591</v>
      </c>
      <c r="F19" s="135">
        <v>30174529</v>
      </c>
      <c r="G19" s="142"/>
      <c r="H19" s="34">
        <f t="shared" si="0"/>
        <v>0.8582200270213891</v>
      </c>
      <c r="I19" s="35">
        <f t="shared" si="1"/>
        <v>1.25747715941149</v>
      </c>
      <c r="J19" s="173"/>
      <c r="K19" s="170">
        <v>28748485</v>
      </c>
      <c r="L19" s="1">
        <f t="shared" si="2"/>
        <v>19896967</v>
      </c>
      <c r="M19" s="239"/>
    </row>
    <row r="20" spans="1:13" ht="13.5" customHeight="1">
      <c r="A20" s="20" t="s">
        <v>45</v>
      </c>
      <c r="B20" s="37">
        <v>0</v>
      </c>
      <c r="C20" s="38">
        <v>0</v>
      </c>
      <c r="D20" s="129">
        <v>872064</v>
      </c>
      <c r="E20" s="135">
        <v>12656283</v>
      </c>
      <c r="F20" s="135">
        <v>0</v>
      </c>
      <c r="G20" s="142"/>
      <c r="H20" s="34">
        <f t="shared" si="0"/>
        <v>-1</v>
      </c>
      <c r="I20" s="35">
        <f t="shared" si="1"/>
        <v>-1</v>
      </c>
      <c r="J20" s="173"/>
      <c r="K20" s="170">
        <v>0</v>
      </c>
      <c r="L20" s="1">
        <f t="shared" si="2"/>
        <v>0</v>
      </c>
      <c r="M20" s="8"/>
    </row>
    <row r="21" spans="1:13" ht="13.5" customHeight="1">
      <c r="A21" s="20" t="s">
        <v>46</v>
      </c>
      <c r="B21" s="37">
        <v>66340087</v>
      </c>
      <c r="C21" s="38">
        <v>66340087</v>
      </c>
      <c r="D21" s="129">
        <v>64620147</v>
      </c>
      <c r="E21" s="135">
        <v>31203640</v>
      </c>
      <c r="F21" s="135">
        <v>63996147</v>
      </c>
      <c r="G21" s="142"/>
      <c r="H21" s="34">
        <f t="shared" si="0"/>
        <v>0.026616157341765145</v>
      </c>
      <c r="I21" s="35">
        <f t="shared" si="1"/>
        <v>1.1260368021166762</v>
      </c>
      <c r="J21" s="173"/>
      <c r="K21" s="170">
        <v>66640086</v>
      </c>
      <c r="L21" s="1">
        <f t="shared" si="2"/>
        <v>-299999</v>
      </c>
      <c r="M21" s="8"/>
    </row>
    <row r="22" spans="1:13" ht="13.5" customHeight="1">
      <c r="A22" s="20" t="s">
        <v>48</v>
      </c>
      <c r="B22" s="37">
        <v>67760926.85</v>
      </c>
      <c r="C22" s="242">
        <v>68556434</v>
      </c>
      <c r="D22" s="206">
        <v>52611690</v>
      </c>
      <c r="E22" s="135">
        <v>131676774</v>
      </c>
      <c r="F22" s="135">
        <v>68995562</v>
      </c>
      <c r="G22" s="142"/>
      <c r="H22" s="34">
        <f t="shared" si="0"/>
        <v>0.3030646611047849</v>
      </c>
      <c r="I22" s="35">
        <f t="shared" si="1"/>
        <v>-0.4793581896227197</v>
      </c>
      <c r="J22" s="173"/>
      <c r="K22" s="170">
        <v>66692758</v>
      </c>
      <c r="L22" s="1">
        <f t="shared" si="2"/>
        <v>1863676</v>
      </c>
      <c r="M22" s="8"/>
    </row>
    <row r="23" spans="1:13" ht="13.5" customHeight="1">
      <c r="A23" s="20" t="s">
        <v>183</v>
      </c>
      <c r="B23" s="37">
        <v>1253855</v>
      </c>
      <c r="C23" s="242">
        <v>1213408</v>
      </c>
      <c r="D23" s="238">
        <v>787303</v>
      </c>
      <c r="E23" s="135"/>
      <c r="F23" s="135">
        <v>521361</v>
      </c>
      <c r="G23" s="142"/>
      <c r="H23" s="34">
        <f t="shared" si="0"/>
        <v>0.5412211054701939</v>
      </c>
      <c r="I23" s="35">
        <f t="shared" si="1"/>
        <v>0</v>
      </c>
      <c r="J23" s="173"/>
      <c r="K23" s="170">
        <v>1456089</v>
      </c>
      <c r="L23" s="1">
        <f t="shared" si="2"/>
        <v>-242681</v>
      </c>
      <c r="M23" s="8"/>
    </row>
    <row r="24" spans="1:13" ht="13.5" customHeight="1">
      <c r="A24" s="20" t="s">
        <v>53</v>
      </c>
      <c r="B24" s="37">
        <v>108174542.62</v>
      </c>
      <c r="C24" s="38">
        <v>112586913</v>
      </c>
      <c r="D24" s="238">
        <v>75520142</v>
      </c>
      <c r="E24" s="135">
        <v>38446276</v>
      </c>
      <c r="F24" s="135">
        <v>60291519</v>
      </c>
      <c r="G24" s="142"/>
      <c r="H24" s="34">
        <f t="shared" si="0"/>
        <v>0.4908196676854766</v>
      </c>
      <c r="I24" s="35">
        <f t="shared" si="1"/>
        <v>1.9284218060547658</v>
      </c>
      <c r="J24" s="173"/>
      <c r="K24" s="170">
        <v>105895961</v>
      </c>
      <c r="L24" s="1">
        <f t="shared" si="2"/>
        <v>6690952</v>
      </c>
      <c r="M24" s="8"/>
    </row>
    <row r="25" spans="1:13" ht="13.5" customHeight="1">
      <c r="A25" s="20" t="s">
        <v>54</v>
      </c>
      <c r="B25" s="37">
        <v>31747553</v>
      </c>
      <c r="C25" s="38">
        <v>31747553</v>
      </c>
      <c r="D25" s="238">
        <v>28018845</v>
      </c>
      <c r="E25" s="135">
        <v>8788554</v>
      </c>
      <c r="F25" s="135">
        <v>28018845</v>
      </c>
      <c r="G25" s="142"/>
      <c r="H25" s="34">
        <f t="shared" si="0"/>
        <v>0.13307857622253882</v>
      </c>
      <c r="I25" s="35">
        <f t="shared" si="1"/>
        <v>2.6123750277918303</v>
      </c>
      <c r="J25" s="173"/>
      <c r="K25" s="170">
        <v>31747553</v>
      </c>
      <c r="L25" s="1">
        <f t="shared" si="2"/>
        <v>0</v>
      </c>
      <c r="M25" s="8"/>
    </row>
    <row r="26" spans="1:14" ht="13.5" customHeight="1">
      <c r="A26" s="20" t="s">
        <v>55</v>
      </c>
      <c r="B26" s="37">
        <v>891257</v>
      </c>
      <c r="C26" s="38">
        <v>632106.85</v>
      </c>
      <c r="D26" s="129">
        <v>8590184</v>
      </c>
      <c r="E26" s="135">
        <v>3969896</v>
      </c>
      <c r="F26" s="135">
        <v>10674240</v>
      </c>
      <c r="G26" s="142"/>
      <c r="H26" s="34">
        <f t="shared" si="0"/>
        <v>-0.9264152141560646</v>
      </c>
      <c r="I26" s="35">
        <f t="shared" si="1"/>
        <v>-0.8407749598478147</v>
      </c>
      <c r="J26" s="173"/>
      <c r="K26" s="170">
        <v>4732167</v>
      </c>
      <c r="L26" s="1">
        <f t="shared" si="2"/>
        <v>-4100060.15</v>
      </c>
      <c r="M26" s="203"/>
      <c r="N26" s="163"/>
    </row>
    <row r="27" spans="1:14" ht="13.5" customHeight="1">
      <c r="A27" s="20" t="s">
        <v>56</v>
      </c>
      <c r="B27" s="80">
        <v>0</v>
      </c>
      <c r="C27" s="38">
        <v>0</v>
      </c>
      <c r="D27" s="129">
        <v>0</v>
      </c>
      <c r="E27" s="135">
        <v>0</v>
      </c>
      <c r="F27" s="135"/>
      <c r="G27" s="142"/>
      <c r="H27" s="34">
        <f t="shared" si="0"/>
        <v>0</v>
      </c>
      <c r="I27" s="35">
        <f t="shared" si="1"/>
        <v>0</v>
      </c>
      <c r="J27" s="173"/>
      <c r="K27" s="170"/>
      <c r="L27" s="1">
        <f t="shared" si="2"/>
        <v>0</v>
      </c>
      <c r="M27" s="203"/>
      <c r="N27" s="163"/>
    </row>
    <row r="28" spans="1:12" ht="13.5" customHeight="1">
      <c r="A28" s="20" t="s">
        <v>57</v>
      </c>
      <c r="B28" s="37">
        <v>14611946</v>
      </c>
      <c r="C28" s="38">
        <v>14611946</v>
      </c>
      <c r="D28" s="129">
        <v>19569033</v>
      </c>
      <c r="E28" s="135">
        <v>7897140</v>
      </c>
      <c r="F28" s="135">
        <v>19569033</v>
      </c>
      <c r="G28" s="142"/>
      <c r="H28" s="34">
        <f t="shared" si="0"/>
        <v>-0.2533128233776294</v>
      </c>
      <c r="I28" s="35">
        <f t="shared" si="1"/>
        <v>0.8502832671068261</v>
      </c>
      <c r="J28" s="173"/>
      <c r="K28" s="170">
        <v>14611946</v>
      </c>
      <c r="L28" s="1">
        <f t="shared" si="2"/>
        <v>0</v>
      </c>
    </row>
    <row r="29" spans="1:12" ht="13.5" customHeight="1">
      <c r="A29" s="40" t="s">
        <v>58</v>
      </c>
      <c r="B29" s="128">
        <f>SUM(B9:B28)</f>
        <v>2771249631.64</v>
      </c>
      <c r="C29" s="85">
        <f>SUM(C9:C28)</f>
        <v>2775457929.42</v>
      </c>
      <c r="D29" s="84">
        <f>SUM(D9:D28)</f>
        <v>2526335792</v>
      </c>
      <c r="E29" s="136">
        <f>SUM(E9:E28)</f>
        <v>3029214091.567773</v>
      </c>
      <c r="F29" s="136">
        <f>SUM(F9:F28)</f>
        <v>2651366439</v>
      </c>
      <c r="G29" s="143"/>
      <c r="H29" s="244">
        <f>IF(D29=0,0,C29/D29-1)</f>
        <v>0.09861006530045624</v>
      </c>
      <c r="I29" s="50">
        <f>IF(E29=0,0,C29/E29-1)</f>
        <v>-0.08376963610929233</v>
      </c>
      <c r="J29" s="173"/>
      <c r="K29" s="171">
        <f>SUM(K9:K28)</f>
        <v>2652374677</v>
      </c>
      <c r="L29" s="1">
        <f t="shared" si="2"/>
        <v>123083252.42000008</v>
      </c>
    </row>
    <row r="30" spans="1:12" ht="13.5" customHeight="1">
      <c r="A30" s="20"/>
      <c r="B30" s="37"/>
      <c r="C30" s="38"/>
      <c r="D30" s="39"/>
      <c r="E30" s="137"/>
      <c r="F30" s="137"/>
      <c r="G30" s="142"/>
      <c r="H30" s="34"/>
      <c r="I30" s="35"/>
      <c r="J30" s="94"/>
      <c r="K30" s="170"/>
      <c r="L30" s="1">
        <f t="shared" si="2"/>
        <v>0</v>
      </c>
    </row>
    <row r="31" spans="1:12" ht="13.5" customHeight="1">
      <c r="A31" s="40" t="s">
        <v>59</v>
      </c>
      <c r="B31" s="37"/>
      <c r="C31" s="38"/>
      <c r="D31" s="39"/>
      <c r="E31" s="137"/>
      <c r="F31" s="137"/>
      <c r="G31" s="142"/>
      <c r="H31" s="34"/>
      <c r="I31" s="35"/>
      <c r="J31" s="94"/>
      <c r="K31" s="170"/>
      <c r="L31" s="1">
        <f t="shared" si="2"/>
        <v>0</v>
      </c>
    </row>
    <row r="32" spans="1:12" ht="13.5" customHeight="1">
      <c r="A32" s="20" t="s">
        <v>60</v>
      </c>
      <c r="B32" s="62">
        <v>2319874780.63</v>
      </c>
      <c r="C32" s="38">
        <v>2314765959</v>
      </c>
      <c r="D32" s="129">
        <v>2105320818</v>
      </c>
      <c r="E32" s="135">
        <v>2588923531.91786</v>
      </c>
      <c r="F32" s="135">
        <v>2268606414</v>
      </c>
      <c r="G32" s="142"/>
      <c r="H32" s="243">
        <f aca="true" t="shared" si="3" ref="H32:H41">IF(D32=0,0,C32/D32-1)</f>
        <v>0.09948371726023564</v>
      </c>
      <c r="I32" s="35">
        <f aca="true" t="shared" si="4" ref="I32:I41">IF(E32=0,0,C32/E32-1)</f>
        <v>-0.10589635790237717</v>
      </c>
      <c r="J32" s="173"/>
      <c r="K32" s="170">
        <v>2222568085</v>
      </c>
      <c r="L32" s="1">
        <f t="shared" si="2"/>
        <v>92197874</v>
      </c>
    </row>
    <row r="33" spans="1:12" ht="13.5" customHeight="1">
      <c r="A33" s="20" t="s">
        <v>61</v>
      </c>
      <c r="B33" s="62">
        <v>21952914</v>
      </c>
      <c r="C33" s="38">
        <v>21751606</v>
      </c>
      <c r="D33" s="129">
        <v>27352455</v>
      </c>
      <c r="E33" s="135">
        <v>94377545.33470176</v>
      </c>
      <c r="F33" s="135">
        <v>26883332</v>
      </c>
      <c r="G33" s="142"/>
      <c r="H33" s="34">
        <f t="shared" si="3"/>
        <v>-0.20476586105342276</v>
      </c>
      <c r="I33" s="35">
        <f t="shared" si="4"/>
        <v>-0.7695256226164834</v>
      </c>
      <c r="J33" s="173"/>
      <c r="K33" s="170">
        <v>22696356</v>
      </c>
      <c r="L33" s="1">
        <f t="shared" si="2"/>
        <v>-944750</v>
      </c>
    </row>
    <row r="34" spans="1:12" ht="13.5" customHeight="1">
      <c r="A34" s="20" t="s">
        <v>62</v>
      </c>
      <c r="B34" s="62">
        <v>0</v>
      </c>
      <c r="C34" s="38">
        <v>0</v>
      </c>
      <c r="D34" s="129">
        <v>881851</v>
      </c>
      <c r="E34" s="135">
        <v>15205860</v>
      </c>
      <c r="F34" s="135">
        <v>0</v>
      </c>
      <c r="G34" s="142"/>
      <c r="H34" s="34">
        <f t="shared" si="3"/>
        <v>-1</v>
      </c>
      <c r="I34" s="35">
        <f t="shared" si="4"/>
        <v>-1</v>
      </c>
      <c r="J34" s="173"/>
      <c r="K34" s="170">
        <v>0</v>
      </c>
      <c r="L34" s="1">
        <f t="shared" si="2"/>
        <v>0</v>
      </c>
    </row>
    <row r="35" spans="1:13" ht="13.5" customHeight="1">
      <c r="A35" s="20" t="s">
        <v>63</v>
      </c>
      <c r="B35" s="62">
        <v>32571205</v>
      </c>
      <c r="C35" s="38">
        <v>32758166</v>
      </c>
      <c r="D35" s="129">
        <v>45693517</v>
      </c>
      <c r="E35" s="135">
        <v>131094665.4141625</v>
      </c>
      <c r="F35" s="135">
        <v>26289979</v>
      </c>
      <c r="G35" s="142"/>
      <c r="H35" s="34">
        <f t="shared" si="3"/>
        <v>-0.2830894150695382</v>
      </c>
      <c r="I35" s="35">
        <f t="shared" si="4"/>
        <v>-0.7501182378664429</v>
      </c>
      <c r="J35" s="173"/>
      <c r="K35" s="170">
        <v>39246100</v>
      </c>
      <c r="L35" s="1">
        <f t="shared" si="2"/>
        <v>-6487934</v>
      </c>
      <c r="M35" s="1"/>
    </row>
    <row r="36" spans="1:12" ht="13.5" customHeight="1">
      <c r="A36" s="20" t="s">
        <v>88</v>
      </c>
      <c r="B36" s="62">
        <v>86210724.62</v>
      </c>
      <c r="C36" s="38">
        <v>91028362</v>
      </c>
      <c r="D36" s="129">
        <v>95156114</v>
      </c>
      <c r="E36" s="135">
        <v>31319792</v>
      </c>
      <c r="F36" s="135">
        <v>48474968</v>
      </c>
      <c r="G36" s="142"/>
      <c r="H36" s="34">
        <f t="shared" si="3"/>
        <v>-0.04337873654655544</v>
      </c>
      <c r="I36" s="35">
        <f t="shared" si="4"/>
        <v>1.906416556023105</v>
      </c>
      <c r="J36" s="173"/>
      <c r="K36" s="170">
        <v>85792662</v>
      </c>
      <c r="L36" s="1">
        <f t="shared" si="2"/>
        <v>5235700</v>
      </c>
    </row>
    <row r="37" spans="1:12" ht="13.5" customHeight="1">
      <c r="A37" s="20" t="s">
        <v>184</v>
      </c>
      <c r="B37" s="80">
        <v>1296883</v>
      </c>
      <c r="C37" s="38">
        <v>1257878</v>
      </c>
      <c r="D37" s="225">
        <v>796050</v>
      </c>
      <c r="E37" s="135">
        <v>34438486</v>
      </c>
      <c r="F37" s="135">
        <v>0</v>
      </c>
      <c r="G37" s="142"/>
      <c r="H37" s="34">
        <f t="shared" si="3"/>
        <v>0.5801494880974813</v>
      </c>
      <c r="I37" s="35">
        <f t="shared" si="4"/>
        <v>-0.9634746428748349</v>
      </c>
      <c r="J37" s="173"/>
      <c r="K37" s="170">
        <v>1500468</v>
      </c>
      <c r="L37" s="1">
        <f t="shared" si="2"/>
        <v>-242590</v>
      </c>
    </row>
    <row r="38" spans="1:12" ht="13.5" customHeight="1">
      <c r="A38" s="20" t="s">
        <v>66</v>
      </c>
      <c r="B38" s="37">
        <v>290500</v>
      </c>
      <c r="C38" s="38">
        <v>290500</v>
      </c>
      <c r="D38" s="206">
        <v>0</v>
      </c>
      <c r="E38" s="135">
        <v>0</v>
      </c>
      <c r="F38" s="135"/>
      <c r="G38" s="142"/>
      <c r="H38" s="34">
        <f t="shared" si="3"/>
        <v>0</v>
      </c>
      <c r="I38" s="35">
        <f t="shared" si="4"/>
        <v>0</v>
      </c>
      <c r="J38" s="173"/>
      <c r="K38" s="170">
        <v>290500</v>
      </c>
      <c r="L38" s="1">
        <f t="shared" si="2"/>
        <v>0</v>
      </c>
    </row>
    <row r="39" spans="1:12" ht="13.5" customHeight="1">
      <c r="A39" s="20" t="s">
        <v>174</v>
      </c>
      <c r="B39" s="37">
        <v>4150000</v>
      </c>
      <c r="C39" s="38">
        <v>4150000</v>
      </c>
      <c r="D39" s="206">
        <v>4150000</v>
      </c>
      <c r="E39" s="135">
        <v>4150000</v>
      </c>
      <c r="F39" s="135">
        <v>4150000</v>
      </c>
      <c r="G39" s="142"/>
      <c r="H39" s="34">
        <f t="shared" si="3"/>
        <v>0</v>
      </c>
      <c r="I39" s="35">
        <f t="shared" si="4"/>
        <v>0</v>
      </c>
      <c r="J39" s="173"/>
      <c r="K39" s="170">
        <v>4150000</v>
      </c>
      <c r="L39" s="1">
        <f t="shared" si="2"/>
        <v>0</v>
      </c>
    </row>
    <row r="40" spans="1:12" ht="13.5" customHeight="1">
      <c r="A40" s="20" t="s">
        <v>67</v>
      </c>
      <c r="B40" s="37">
        <v>0</v>
      </c>
      <c r="C40" s="38">
        <v>0</v>
      </c>
      <c r="D40" s="238">
        <v>0</v>
      </c>
      <c r="E40" s="135">
        <v>1263514</v>
      </c>
      <c r="F40" s="135">
        <v>0</v>
      </c>
      <c r="G40" s="142"/>
      <c r="H40" s="34">
        <f t="shared" si="3"/>
        <v>0</v>
      </c>
      <c r="I40" s="35">
        <f t="shared" si="4"/>
        <v>-1</v>
      </c>
      <c r="J40" s="173"/>
      <c r="K40" s="170">
        <v>0</v>
      </c>
      <c r="L40" s="1">
        <f t="shared" si="2"/>
        <v>0</v>
      </c>
    </row>
    <row r="41" spans="1:12" ht="13.5" customHeight="1">
      <c r="A41" s="20" t="s">
        <v>87</v>
      </c>
      <c r="B41" s="37">
        <v>1398983</v>
      </c>
      <c r="C41" s="38">
        <v>1398983</v>
      </c>
      <c r="D41" s="225">
        <v>1910635</v>
      </c>
      <c r="E41" s="135">
        <v>933585</v>
      </c>
      <c r="F41" s="135">
        <v>2387043</v>
      </c>
      <c r="G41" s="142"/>
      <c r="H41" s="34">
        <f t="shared" si="3"/>
        <v>-0.2677915980812662</v>
      </c>
      <c r="I41" s="35">
        <f t="shared" si="4"/>
        <v>0.4985062956238586</v>
      </c>
      <c r="J41" s="173"/>
      <c r="K41" s="170">
        <v>1398983</v>
      </c>
      <c r="L41" s="1">
        <f t="shared" si="2"/>
        <v>0</v>
      </c>
    </row>
    <row r="42" spans="1:13" ht="13.5" customHeight="1">
      <c r="A42" s="40" t="s">
        <v>68</v>
      </c>
      <c r="B42" s="128">
        <f>SUM(B32:B41)</f>
        <v>2467745990.25</v>
      </c>
      <c r="C42" s="85">
        <f>SUM(C32:C41)</f>
        <v>2467401454</v>
      </c>
      <c r="D42" s="84">
        <f>SUM(D32:D41)</f>
        <v>2281261440</v>
      </c>
      <c r="E42" s="136">
        <f>SUM(E32:E41)</f>
        <v>2901706979.666724</v>
      </c>
      <c r="F42" s="136">
        <f>SUM(F32:F41)</f>
        <v>2376791736</v>
      </c>
      <c r="G42" s="143"/>
      <c r="H42" s="49">
        <f>IF(D42=0,0,C42/D42-1)</f>
        <v>0.0815952133921134</v>
      </c>
      <c r="I42" s="50">
        <f>IF(E42=0,0,C42/E42-1)</f>
        <v>-0.14967242685428095</v>
      </c>
      <c r="J42" s="173"/>
      <c r="K42" s="171">
        <f>SUM(K32:K41)</f>
        <v>2377643154</v>
      </c>
      <c r="L42" s="1">
        <f t="shared" si="2"/>
        <v>89758300</v>
      </c>
      <c r="M42" s="163"/>
    </row>
    <row r="43" spans="1:12" ht="13.5" customHeight="1">
      <c r="A43" s="20"/>
      <c r="B43" s="37"/>
      <c r="C43" s="38"/>
      <c r="D43" s="39"/>
      <c r="E43" s="137"/>
      <c r="F43" s="137"/>
      <c r="G43" s="142"/>
      <c r="H43" s="34"/>
      <c r="I43" s="35"/>
      <c r="J43" s="173"/>
      <c r="K43" s="170"/>
      <c r="L43" s="1">
        <f t="shared" si="2"/>
        <v>0</v>
      </c>
    </row>
    <row r="44" spans="1:12" ht="13.5" customHeight="1">
      <c r="A44" s="40" t="s">
        <v>86</v>
      </c>
      <c r="B44" s="37"/>
      <c r="C44" s="38"/>
      <c r="D44" s="39"/>
      <c r="E44" s="137"/>
      <c r="F44" s="137"/>
      <c r="G44" s="142"/>
      <c r="H44" s="34"/>
      <c r="I44" s="35"/>
      <c r="J44" s="173"/>
      <c r="K44" s="170"/>
      <c r="L44" s="1">
        <f t="shared" si="2"/>
        <v>0</v>
      </c>
    </row>
    <row r="45" spans="1:12" ht="13.5" customHeight="1">
      <c r="A45" s="20" t="s">
        <v>69</v>
      </c>
      <c r="B45" s="37">
        <v>170081059.63</v>
      </c>
      <c r="C45" s="38">
        <v>170081059.63</v>
      </c>
      <c r="D45" s="129">
        <v>170081060</v>
      </c>
      <c r="E45" s="135">
        <v>170081060.45</v>
      </c>
      <c r="F45" s="135">
        <v>170081060.45</v>
      </c>
      <c r="G45" s="142"/>
      <c r="H45" s="34">
        <f aca="true" t="shared" si="5" ref="H45:H54">IF(D45=0,0,C45/D45-1)</f>
        <v>-2.175433277962213E-09</v>
      </c>
      <c r="I45" s="35">
        <f aca="true" t="shared" si="6" ref="I45:I54">IF(E45=0,0,C45/E45-1)</f>
        <v>-4.821230525919873E-09</v>
      </c>
      <c r="J45" s="173"/>
      <c r="K45" s="170">
        <v>170081060</v>
      </c>
      <c r="L45" s="1">
        <f t="shared" si="2"/>
        <v>-0.3700000047683716</v>
      </c>
    </row>
    <row r="46" spans="1:12" ht="13.5" customHeight="1">
      <c r="A46" s="20" t="s">
        <v>70</v>
      </c>
      <c r="B46" s="37">
        <v>1117549</v>
      </c>
      <c r="C46" s="38">
        <v>1117549</v>
      </c>
      <c r="D46" s="129">
        <v>1117549</v>
      </c>
      <c r="E46" s="135">
        <v>0</v>
      </c>
      <c r="F46" s="135">
        <v>1117549</v>
      </c>
      <c r="G46" s="142"/>
      <c r="H46" s="34">
        <f t="shared" si="5"/>
        <v>0</v>
      </c>
      <c r="I46" s="35">
        <f t="shared" si="6"/>
        <v>0</v>
      </c>
      <c r="J46" s="173"/>
      <c r="K46" s="170">
        <v>1117549</v>
      </c>
      <c r="L46" s="1">
        <f t="shared" si="2"/>
        <v>0</v>
      </c>
    </row>
    <row r="47" spans="1:13" ht="13.5" customHeight="1">
      <c r="A47" s="20" t="s">
        <v>71</v>
      </c>
      <c r="B47" s="37">
        <v>-36914332</v>
      </c>
      <c r="C47" s="38">
        <v>-38796459</v>
      </c>
      <c r="D47" s="129">
        <v>-35935888</v>
      </c>
      <c r="E47" s="135">
        <v>1419247.72</v>
      </c>
      <c r="F47" s="135">
        <v>-51765413</v>
      </c>
      <c r="G47" s="142"/>
      <c r="H47" s="34">
        <f t="shared" si="5"/>
        <v>0.07960206799397862</v>
      </c>
      <c r="I47" s="35">
        <f t="shared" si="6"/>
        <v>-28.335931883688353</v>
      </c>
      <c r="J47" s="173"/>
      <c r="K47" s="170">
        <v>-43894066</v>
      </c>
      <c r="L47" s="1">
        <f t="shared" si="2"/>
        <v>5097607</v>
      </c>
      <c r="M47" s="163">
        <f>+C47-'[1]Balance Sheet '!$C$47</f>
        <v>-734531</v>
      </c>
    </row>
    <row r="48" spans="1:12" ht="13.5" customHeight="1">
      <c r="A48" s="20" t="s">
        <v>72</v>
      </c>
      <c r="B48" s="37">
        <v>26427689</v>
      </c>
      <c r="C48" s="38">
        <v>26427689</v>
      </c>
      <c r="D48" s="129">
        <v>13855322</v>
      </c>
      <c r="E48" s="135">
        <v>13855322</v>
      </c>
      <c r="F48" s="135">
        <v>13855322</v>
      </c>
      <c r="G48" s="142"/>
      <c r="H48" s="34">
        <f t="shared" si="5"/>
        <v>0.9074034511792652</v>
      </c>
      <c r="I48" s="35">
        <f t="shared" si="6"/>
        <v>0.9074034511792652</v>
      </c>
      <c r="J48" s="173"/>
      <c r="K48" s="170">
        <v>26427689</v>
      </c>
      <c r="L48" s="1">
        <f t="shared" si="2"/>
        <v>0</v>
      </c>
    </row>
    <row r="49" spans="1:14" ht="13.5" customHeight="1">
      <c r="A49" s="20" t="s">
        <v>73</v>
      </c>
      <c r="B49" s="37">
        <v>183043826.57</v>
      </c>
      <c r="C49" s="38">
        <v>183043826.57</v>
      </c>
      <c r="D49" s="129">
        <v>174684869</v>
      </c>
      <c r="E49" s="135">
        <v>146855294</v>
      </c>
      <c r="F49" s="135">
        <v>175544690</v>
      </c>
      <c r="G49" s="142"/>
      <c r="H49" s="34">
        <f t="shared" si="5"/>
        <v>0.04785164060202596</v>
      </c>
      <c r="I49" s="35">
        <f t="shared" si="6"/>
        <v>0.24642307120368434</v>
      </c>
      <c r="J49" s="173"/>
      <c r="K49" s="170">
        <v>183016575</v>
      </c>
      <c r="L49" s="1">
        <f t="shared" si="2"/>
        <v>27251.569999992847</v>
      </c>
      <c r="M49" s="316">
        <f>+M47/'[1]Balance Sheet '!$C$47</f>
        <v>0.019298313001905737</v>
      </c>
      <c r="N49" s="163"/>
    </row>
    <row r="50" spans="1:14" ht="13.5" customHeight="1">
      <c r="A50" s="20" t="s">
        <v>76</v>
      </c>
      <c r="B50" s="37">
        <v>-62017300.589999996</v>
      </c>
      <c r="C50" s="38">
        <v>-62017300.589999996</v>
      </c>
      <c r="D50" s="129">
        <v>-89544962</v>
      </c>
      <c r="E50" s="135">
        <v>-263462609.0381893</v>
      </c>
      <c r="F50" s="135">
        <v>-65896273</v>
      </c>
      <c r="G50" s="142"/>
      <c r="H50" s="34">
        <f t="shared" si="5"/>
        <v>-0.307417199082624</v>
      </c>
      <c r="I50" s="35">
        <f t="shared" si="6"/>
        <v>-0.7646068228945136</v>
      </c>
      <c r="J50" s="173"/>
      <c r="K50" s="170">
        <v>-62017284</v>
      </c>
      <c r="L50" s="1">
        <f t="shared" si="2"/>
        <v>-16.589999996125698</v>
      </c>
      <c r="M50" s="163"/>
      <c r="N50" s="163"/>
    </row>
    <row r="51" spans="1:12" ht="13.5" customHeight="1">
      <c r="A51" s="20" t="s">
        <v>74</v>
      </c>
      <c r="B51" s="77">
        <v>21765150.1725</v>
      </c>
      <c r="C51" s="75">
        <v>28200111</v>
      </c>
      <c r="D51" s="129">
        <v>10816402</v>
      </c>
      <c r="E51" s="135">
        <v>9021806.07</v>
      </c>
      <c r="F51" s="135">
        <v>31637768</v>
      </c>
      <c r="G51" s="142"/>
      <c r="H51" s="34">
        <f t="shared" si="5"/>
        <v>1.6071618824818086</v>
      </c>
      <c r="I51" s="35">
        <f t="shared" si="6"/>
        <v>2.1257722435170896</v>
      </c>
      <c r="J51" s="173"/>
      <c r="K51" s="207">
        <v>0</v>
      </c>
      <c r="L51" s="1">
        <f t="shared" si="2"/>
        <v>28200111</v>
      </c>
    </row>
    <row r="52" spans="1:13" ht="13.5" customHeight="1">
      <c r="A52" s="40" t="s">
        <v>90</v>
      </c>
      <c r="B52" s="64">
        <f>SUM(B45:B51)</f>
        <v>303503641.7825</v>
      </c>
      <c r="C52" s="63">
        <f>SUM(C45:C51)</f>
        <v>308056475.61</v>
      </c>
      <c r="D52" s="131">
        <f>SUM(D45:D51)</f>
        <v>245074352</v>
      </c>
      <c r="E52" s="138">
        <f>SUM(E45:E51)</f>
        <v>77770121.20181066</v>
      </c>
      <c r="F52" s="138">
        <f>SUM(F45:F51)</f>
        <v>274574703.45</v>
      </c>
      <c r="G52" s="143"/>
      <c r="H52" s="145">
        <f t="shared" si="5"/>
        <v>0.2569919010129629</v>
      </c>
      <c r="I52" s="146">
        <f t="shared" si="6"/>
        <v>2.9611160539483357</v>
      </c>
      <c r="J52" s="173"/>
      <c r="K52" s="208">
        <f>SUM(K45:K51)</f>
        <v>274731523</v>
      </c>
      <c r="L52" s="1">
        <f t="shared" si="2"/>
        <v>33324952.610000014</v>
      </c>
      <c r="M52" s="163">
        <f>+C52-'[1]Balance Sheet '!$C$52</f>
        <v>27304117</v>
      </c>
    </row>
    <row r="53" spans="1:12" ht="13.5" customHeight="1">
      <c r="A53" s="40" t="s">
        <v>91</v>
      </c>
      <c r="B53" s="64">
        <f>+B52</f>
        <v>303503641.7825</v>
      </c>
      <c r="C53" s="296">
        <f>+C52</f>
        <v>308056475.61</v>
      </c>
      <c r="D53" s="78">
        <f>+D52</f>
        <v>245074352</v>
      </c>
      <c r="E53" s="78">
        <f>+E52</f>
        <v>77770121.20181066</v>
      </c>
      <c r="F53" s="78">
        <f>+F52</f>
        <v>274574703.45</v>
      </c>
      <c r="G53" s="143"/>
      <c r="H53" s="297">
        <f t="shared" si="5"/>
        <v>0.2569919010129629</v>
      </c>
      <c r="I53" s="146">
        <f t="shared" si="6"/>
        <v>2.9611160539483357</v>
      </c>
      <c r="J53" s="298"/>
      <c r="K53" s="299">
        <f>+K52</f>
        <v>274731523</v>
      </c>
      <c r="L53" s="1">
        <f t="shared" si="2"/>
        <v>33324952.610000014</v>
      </c>
    </row>
    <row r="54" spans="1:13" ht="13.5" customHeight="1" thickBot="1">
      <c r="A54" s="40" t="s">
        <v>92</v>
      </c>
      <c r="B54" s="67">
        <f>+B53+B42</f>
        <v>2771249632.0325003</v>
      </c>
      <c r="C54" s="66">
        <f>+C53+C42</f>
        <v>2775457929.61</v>
      </c>
      <c r="D54" s="79">
        <f>+D53+D42</f>
        <v>2526335792</v>
      </c>
      <c r="E54" s="139">
        <f>+E53+E42</f>
        <v>2979477100.868535</v>
      </c>
      <c r="F54" s="139">
        <f>+F53+F42</f>
        <v>2651366439.45</v>
      </c>
      <c r="G54" s="143"/>
      <c r="H54" s="51">
        <f t="shared" si="5"/>
        <v>0.09861006537566408</v>
      </c>
      <c r="I54" s="52">
        <f t="shared" si="6"/>
        <v>-0.06847482439085106</v>
      </c>
      <c r="J54" s="173"/>
      <c r="K54" s="172">
        <f>+K53+K42</f>
        <v>2652374677</v>
      </c>
      <c r="L54" s="1">
        <f t="shared" si="2"/>
        <v>123083252.61000013</v>
      </c>
      <c r="M54" s="163"/>
    </row>
    <row r="55" spans="1:11" ht="15" thickTop="1">
      <c r="A55" s="42"/>
      <c r="B55" s="43"/>
      <c r="C55" s="65"/>
      <c r="D55" s="44"/>
      <c r="E55" s="44"/>
      <c r="F55" s="44"/>
      <c r="G55" s="205"/>
      <c r="H55" s="47"/>
      <c r="I55" s="48"/>
      <c r="J55" s="8"/>
      <c r="K55" s="169"/>
    </row>
    <row r="56" spans="1:9" ht="14.25" hidden="1">
      <c r="A56" t="s">
        <v>75</v>
      </c>
      <c r="B56" s="1">
        <f>+B29-B54</f>
        <v>-0.3925004005432129</v>
      </c>
      <c r="C56" s="1">
        <f>+C29-C54</f>
        <v>-0.19000005722045898</v>
      </c>
      <c r="D56" s="1"/>
      <c r="E56" s="1">
        <f>+E29-E54</f>
        <v>49736990.69923782</v>
      </c>
      <c r="F56" s="1"/>
      <c r="H56" s="2"/>
      <c r="I56" s="2"/>
    </row>
    <row r="57" spans="2:11" ht="14.25">
      <c r="B57" s="163">
        <f>B29-B54</f>
        <v>-0.3925004005432129</v>
      </c>
      <c r="C57" s="163">
        <f>C29-C54</f>
        <v>-0.19000005722045898</v>
      </c>
      <c r="D57" s="163">
        <f>D29-D54</f>
        <v>0</v>
      </c>
      <c r="E57" s="163">
        <f>E29-E54</f>
        <v>49736990.69923782</v>
      </c>
      <c r="F57" s="163">
        <f>F54-F29</f>
        <v>0.4499998092651367</v>
      </c>
      <c r="K57" s="163"/>
    </row>
    <row r="58" spans="3:11" ht="14.25">
      <c r="C58" s="163"/>
      <c r="D58" s="163"/>
      <c r="E58" s="163"/>
      <c r="F58" s="163"/>
      <c r="K58" s="163">
        <f>K54-K29</f>
        <v>0</v>
      </c>
    </row>
    <row r="62" ht="15" customHeight="1"/>
    <row r="64" ht="14.25">
      <c r="B64" s="130"/>
    </row>
    <row r="65" spans="1:6" ht="14.25">
      <c r="A65" s="189" t="s">
        <v>110</v>
      </c>
      <c r="B65" s="163">
        <f>B13+B14</f>
        <v>953398897</v>
      </c>
      <c r="C65" s="163">
        <f>C13+C14</f>
        <v>972371636.65</v>
      </c>
      <c r="D65" s="163">
        <f>D13+D14</f>
        <v>923880810</v>
      </c>
      <c r="E65" s="163">
        <f>E13+E14</f>
        <v>1595796930.9187262</v>
      </c>
      <c r="F65" s="163"/>
    </row>
    <row r="66" spans="1:6" ht="14.25">
      <c r="A66" s="189" t="s">
        <v>111</v>
      </c>
      <c r="B66" s="163">
        <f>B65+B15</f>
        <v>878532479</v>
      </c>
      <c r="C66" s="163">
        <f>C65+C15</f>
        <v>900577835.5699999</v>
      </c>
      <c r="D66" s="163">
        <f>D65+D15</f>
        <v>838736584</v>
      </c>
      <c r="E66" s="163">
        <f>E65+E15</f>
        <v>1477319713.6137261</v>
      </c>
      <c r="F66" s="163"/>
    </row>
    <row r="67" spans="1:6" ht="14.25">
      <c r="A67" s="189" t="s">
        <v>112</v>
      </c>
      <c r="B67" s="163">
        <f>B14</f>
        <v>99498209.09</v>
      </c>
      <c r="C67" s="163">
        <f>C14</f>
        <v>98183740.65</v>
      </c>
      <c r="D67" s="163">
        <f>D14</f>
        <v>108531834</v>
      </c>
      <c r="E67" s="163">
        <f>E14</f>
        <v>222441657.35893968</v>
      </c>
      <c r="F67" s="163"/>
    </row>
    <row r="68" spans="1:6" ht="14.25">
      <c r="A68" s="189" t="s">
        <v>113</v>
      </c>
      <c r="B68" s="163">
        <f>B14+B15</f>
        <v>24631791.090000004</v>
      </c>
      <c r="C68" s="163">
        <f>C14+C15</f>
        <v>26389939.570000008</v>
      </c>
      <c r="D68" s="163">
        <f>D14+D15</f>
        <v>23387608</v>
      </c>
      <c r="E68" s="163">
        <f>E14+E15</f>
        <v>103964440.05393967</v>
      </c>
      <c r="F68" s="163"/>
    </row>
    <row r="69" spans="1:6" ht="14.25">
      <c r="A69" s="189" t="s">
        <v>114</v>
      </c>
      <c r="B69" s="163">
        <f>-B15</f>
        <v>74866418</v>
      </c>
      <c r="C69" s="163">
        <f>-C15</f>
        <v>71793801.08</v>
      </c>
      <c r="D69" s="163">
        <f>-D15</f>
        <v>85144226</v>
      </c>
      <c r="E69" s="163">
        <f>-E15</f>
        <v>118477217.305</v>
      </c>
      <c r="F69" s="163"/>
    </row>
    <row r="70" spans="1:6" ht="14.25">
      <c r="A70" s="189" t="s">
        <v>115</v>
      </c>
      <c r="B70" s="163">
        <f>B32</f>
        <v>2319874780.63</v>
      </c>
      <c r="C70" s="163">
        <f>C32</f>
        <v>2314765959</v>
      </c>
      <c r="D70" s="163">
        <f>D32</f>
        <v>2105320818</v>
      </c>
      <c r="E70" s="163">
        <f>E32</f>
        <v>2588923531.91786</v>
      </c>
      <c r="F70" s="163"/>
    </row>
    <row r="71" spans="1:6" ht="14.25">
      <c r="A71" s="189" t="s">
        <v>116</v>
      </c>
      <c r="B71" s="163">
        <f>B32+B35+200597547</f>
        <v>2553043532.63</v>
      </c>
      <c r="C71" s="163">
        <f>C70+C35</f>
        <v>2347524125</v>
      </c>
      <c r="D71" s="163">
        <f>D32+D35</f>
        <v>2151014335</v>
      </c>
      <c r="E71" s="163">
        <f>E32+E35</f>
        <v>2720018197.3320227</v>
      </c>
      <c r="F71" s="163"/>
    </row>
    <row r="72" spans="1:6" ht="14.25">
      <c r="A72" s="189" t="s">
        <v>117</v>
      </c>
      <c r="B72" s="178">
        <f>(B29+K29)/2</f>
        <v>2711812154.3199997</v>
      </c>
      <c r="C72" s="178">
        <f>(C29+K29)/2</f>
        <v>2713916303.21</v>
      </c>
      <c r="D72" s="178">
        <f>(D29+2187221733)/2</f>
        <v>2356778762.5</v>
      </c>
      <c r="E72" s="178">
        <f>(E29+K29)/2</f>
        <v>2840794384.2838864</v>
      </c>
      <c r="F72" s="231"/>
    </row>
    <row r="73" spans="1:6" ht="14.25">
      <c r="A73" s="189" t="s">
        <v>118</v>
      </c>
      <c r="B73" s="178">
        <f>(B53+K53)/2</f>
        <v>289117582.39125</v>
      </c>
      <c r="C73" s="178">
        <f>(C53+K53)/2</f>
        <v>291393999.305</v>
      </c>
      <c r="D73" s="178">
        <f>(D53+189920814)/2</f>
        <v>217497583</v>
      </c>
      <c r="E73" s="178">
        <f>(E53+K53)/2</f>
        <v>176250822.10090533</v>
      </c>
      <c r="F73" s="231"/>
    </row>
    <row r="74" ht="14.25">
      <c r="A74" s="189"/>
    </row>
    <row r="75" spans="1:6" ht="14.25">
      <c r="A75" s="189" t="s">
        <v>119</v>
      </c>
      <c r="B75" s="202">
        <f>('Inc Statement '!I32/'Balance Sheet '!B72)/5*12</f>
        <v>0.019262528546007837</v>
      </c>
      <c r="C75" s="219">
        <f>(('Inc Statement '!J32/C72)/6)*12</f>
        <v>0.020781857345154767</v>
      </c>
      <c r="D75" s="202">
        <f>(('Inc Statement '!K32/D72)/6)*12</f>
        <v>0.009178971437714659</v>
      </c>
      <c r="E75" s="202">
        <f>(('Inc Statement '!L32/E72)/1)*12</f>
        <v>0.04018964897302089</v>
      </c>
      <c r="F75" s="202"/>
    </row>
    <row r="76" spans="1:6" ht="14.25">
      <c r="A76" s="189" t="s">
        <v>120</v>
      </c>
      <c r="B76" s="202">
        <f>('Inc Statement '!I32/'Balance Sheet '!B73)/5*12</f>
        <v>0.18067513778290678</v>
      </c>
      <c r="C76" s="219">
        <f>(('Inc Statement '!J32/C73)/6)*12</f>
        <v>0.19355313285283648</v>
      </c>
      <c r="D76" s="202">
        <f>(('Inc Statement '!K32/D73)/6)*12</f>
        <v>0.099462277454366</v>
      </c>
      <c r="E76" s="202">
        <f>(('Inc Statement '!L32/E73)/1)*12</f>
        <v>0.6477730302076813</v>
      </c>
      <c r="F76" s="202"/>
    </row>
    <row r="77" spans="1:6" ht="14.25">
      <c r="A77" s="189" t="s">
        <v>121</v>
      </c>
      <c r="B77" s="190">
        <f>B65/B70</f>
        <v>0.4109699820699326</v>
      </c>
      <c r="C77" s="219">
        <f>C65/C70</f>
        <v>0.4200734129812732</v>
      </c>
      <c r="D77" s="190">
        <f>D65/D70</f>
        <v>0.4388313657951963</v>
      </c>
      <c r="E77" s="190">
        <f>E65/E70</f>
        <v>0.6163939997627388</v>
      </c>
      <c r="F77" s="190"/>
    </row>
    <row r="78" spans="1:6" ht="14.25">
      <c r="A78" s="191" t="s">
        <v>122</v>
      </c>
      <c r="B78" s="190">
        <f>B65/B71</f>
        <v>0.37343620851535686</v>
      </c>
      <c r="C78" s="219">
        <f>C65/C71</f>
        <v>0.41421156285241584</v>
      </c>
      <c r="D78" s="190">
        <f>D65/D71</f>
        <v>0.4295093691228236</v>
      </c>
      <c r="E78" s="190">
        <f>E65/E71</f>
        <v>0.5866861230869674</v>
      </c>
      <c r="F78" s="190"/>
    </row>
    <row r="79" spans="1:6" ht="14.25">
      <c r="A79" s="191" t="s">
        <v>123</v>
      </c>
      <c r="B79" s="190">
        <f>B67/B65</f>
        <v>0.1043615735271823</v>
      </c>
      <c r="C79" s="219">
        <f>C67/C65</f>
        <v>0.10097347243514952</v>
      </c>
      <c r="D79" s="190">
        <f>D67/D65</f>
        <v>0.11747384816879139</v>
      </c>
      <c r="E79" s="190">
        <f>E67/E65</f>
        <v>0.13939220777350186</v>
      </c>
      <c r="F79" s="190"/>
    </row>
    <row r="80" spans="1:6" ht="14.25">
      <c r="A80" s="191" t="s">
        <v>124</v>
      </c>
      <c r="B80" s="190">
        <f>B67/B66</f>
        <v>0.11325501500326433</v>
      </c>
      <c r="C80" s="219">
        <f>C67/C66</f>
        <v>0.1090230480609784</v>
      </c>
      <c r="D80" s="190">
        <f>D67/D66</f>
        <v>0.1293991892930236</v>
      </c>
      <c r="E80" s="190">
        <f>E67/E66</f>
        <v>0.150571102049953</v>
      </c>
      <c r="F80" s="190"/>
    </row>
    <row r="81" spans="1:6" ht="14.25">
      <c r="A81" s="191" t="s">
        <v>125</v>
      </c>
      <c r="B81" s="190">
        <f>B69/B67</f>
        <v>0.7524398547945763</v>
      </c>
      <c r="C81" s="219">
        <f>C69/C67</f>
        <v>0.7312188413754431</v>
      </c>
      <c r="D81" s="190">
        <f>D69/D67</f>
        <v>0.7845092344058242</v>
      </c>
      <c r="E81" s="190">
        <f>E69/E67</f>
        <v>0.5326215364140225</v>
      </c>
      <c r="F81" s="190"/>
    </row>
  </sheetData>
  <sheetProtection/>
  <printOptions horizontalCentered="1"/>
  <pageMargins left="0.34" right="0.34" top="1" bottom="1" header="0.74" footer="0.23"/>
  <pageSetup orientation="portrait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zoomScalePageLayoutView="0" workbookViewId="0" topLeftCell="C1">
      <selection activeCell="J11" sqref="J11"/>
    </sheetView>
  </sheetViews>
  <sheetFormatPr defaultColWidth="9.140625" defaultRowHeight="15"/>
  <cols>
    <col min="1" max="1" width="38.57421875" style="0" customWidth="1"/>
    <col min="2" max="2" width="11.00390625" style="0" bestFit="1" customWidth="1"/>
    <col min="3" max="3" width="10.7109375" style="0" customWidth="1"/>
    <col min="4" max="4" width="9.8515625" style="0" customWidth="1"/>
    <col min="5" max="5" width="10.421875" style="0" customWidth="1"/>
    <col min="6" max="6" width="11.28125" style="0" bestFit="1" customWidth="1"/>
    <col min="7" max="7" width="10.140625" style="0" customWidth="1"/>
    <col min="8" max="8" width="0.9921875" style="8" customWidth="1"/>
    <col min="9" max="9" width="11.00390625" style="8" bestFit="1" customWidth="1"/>
    <col min="10" max="10" width="11.28125" style="0" bestFit="1" customWidth="1"/>
    <col min="11" max="11" width="10.8515625" style="0" customWidth="1"/>
    <col min="12" max="12" width="11.00390625" style="0" bestFit="1" customWidth="1"/>
    <col min="13" max="13" width="9.8515625" style="0" customWidth="1"/>
    <col min="14" max="14" width="9.421875" style="0" customWidth="1"/>
    <col min="15" max="15" width="1.1484375" style="0" customWidth="1"/>
    <col min="16" max="16" width="11.140625" style="0" customWidth="1"/>
    <col min="17" max="17" width="2.140625" style="0" customWidth="1"/>
    <col min="18" max="19" width="11.00390625" style="0" customWidth="1"/>
    <col min="20" max="20" width="9.140625" style="0" customWidth="1"/>
  </cols>
  <sheetData>
    <row r="1" spans="1:2" ht="14.25">
      <c r="A1" s="5" t="s">
        <v>84</v>
      </c>
      <c r="B1" s="5"/>
    </row>
    <row r="2" spans="1:2" ht="14.25">
      <c r="A2" s="5" t="s">
        <v>82</v>
      </c>
      <c r="B2" s="5"/>
    </row>
    <row r="3" spans="1:2" ht="14.25">
      <c r="A3" s="9" t="s">
        <v>142</v>
      </c>
      <c r="B3" s="9"/>
    </row>
    <row r="4" spans="1:2" ht="14.25">
      <c r="A4" s="11" t="s">
        <v>83</v>
      </c>
      <c r="B4" s="11"/>
    </row>
    <row r="6" spans="1:16" ht="14.25">
      <c r="A6" s="13"/>
      <c r="B6" s="303" t="s">
        <v>0</v>
      </c>
      <c r="C6" s="304"/>
      <c r="D6" s="304"/>
      <c r="E6" s="304"/>
      <c r="F6" s="304"/>
      <c r="G6" s="305"/>
      <c r="H6" s="36"/>
      <c r="I6" s="306" t="s">
        <v>94</v>
      </c>
      <c r="J6" s="307"/>
      <c r="K6" s="307"/>
      <c r="L6" s="307"/>
      <c r="M6" s="307"/>
      <c r="N6" s="308"/>
      <c r="O6" s="110"/>
      <c r="P6" s="124"/>
    </row>
    <row r="7" spans="1:19" ht="14.25">
      <c r="A7" s="20"/>
      <c r="B7" s="53" t="s">
        <v>2</v>
      </c>
      <c r="C7" s="57"/>
      <c r="D7" s="54"/>
      <c r="E7" s="54"/>
      <c r="F7" s="54"/>
      <c r="G7" s="55"/>
      <c r="H7" s="56"/>
      <c r="I7" s="14" t="s">
        <v>2</v>
      </c>
      <c r="J7" s="16" t="s">
        <v>2</v>
      </c>
      <c r="K7" s="15" t="s">
        <v>3</v>
      </c>
      <c r="L7" s="15"/>
      <c r="M7" s="15"/>
      <c r="N7" s="17"/>
      <c r="O7" s="56"/>
      <c r="P7" s="113" t="s">
        <v>2</v>
      </c>
      <c r="S7" s="134" t="s">
        <v>3</v>
      </c>
    </row>
    <row r="8" spans="1:19" ht="14.25">
      <c r="A8" s="20"/>
      <c r="B8" s="53" t="s">
        <v>4</v>
      </c>
      <c r="C8" s="57" t="s">
        <v>4</v>
      </c>
      <c r="D8" s="54" t="s">
        <v>4</v>
      </c>
      <c r="E8" s="54" t="s">
        <v>6</v>
      </c>
      <c r="F8" s="54" t="s">
        <v>5</v>
      </c>
      <c r="G8" s="55" t="s">
        <v>6</v>
      </c>
      <c r="H8" s="56"/>
      <c r="I8" s="53" t="s">
        <v>7</v>
      </c>
      <c r="J8" s="57" t="s">
        <v>7</v>
      </c>
      <c r="K8" s="54" t="s">
        <v>8</v>
      </c>
      <c r="L8" s="54" t="s">
        <v>6</v>
      </c>
      <c r="M8" s="54" t="s">
        <v>9</v>
      </c>
      <c r="N8" s="55" t="s">
        <v>6</v>
      </c>
      <c r="O8" s="56"/>
      <c r="P8" s="114" t="s">
        <v>93</v>
      </c>
      <c r="R8" s="54" t="s">
        <v>6</v>
      </c>
      <c r="S8" s="54" t="s">
        <v>8</v>
      </c>
    </row>
    <row r="9" spans="1:19" ht="14.25">
      <c r="A9" s="20"/>
      <c r="B9" s="87">
        <v>40725</v>
      </c>
      <c r="C9" s="23">
        <v>40756</v>
      </c>
      <c r="D9" s="22">
        <v>40391</v>
      </c>
      <c r="E9" s="22">
        <v>40756</v>
      </c>
      <c r="F9" s="58" t="s">
        <v>10</v>
      </c>
      <c r="G9" s="27" t="s">
        <v>10</v>
      </c>
      <c r="H9" s="56"/>
      <c r="I9" s="97">
        <v>40725</v>
      </c>
      <c r="J9" s="23">
        <v>40756</v>
      </c>
      <c r="K9" s="22">
        <v>40391</v>
      </c>
      <c r="L9" s="22">
        <v>40756</v>
      </c>
      <c r="M9" s="58" t="s">
        <v>10</v>
      </c>
      <c r="N9" s="27" t="s">
        <v>10</v>
      </c>
      <c r="O9" s="56"/>
      <c r="P9" s="125">
        <v>40513</v>
      </c>
      <c r="R9" s="22">
        <v>40725</v>
      </c>
      <c r="S9" s="22">
        <v>40360</v>
      </c>
    </row>
    <row r="10" spans="1:19" ht="14.25">
      <c r="A10" s="20"/>
      <c r="B10" s="88"/>
      <c r="C10" s="30"/>
      <c r="D10" s="29"/>
      <c r="E10" s="29"/>
      <c r="F10" s="29"/>
      <c r="G10" s="31"/>
      <c r="H10" s="36"/>
      <c r="I10" s="98"/>
      <c r="J10" s="99"/>
      <c r="K10" s="100"/>
      <c r="L10" s="100"/>
      <c r="M10" s="100"/>
      <c r="N10" s="101"/>
      <c r="O10" s="32"/>
      <c r="P10" s="115"/>
      <c r="R10" s="100"/>
      <c r="S10" s="100"/>
    </row>
    <row r="11" spans="1:21" ht="14.25">
      <c r="A11" s="20" t="s">
        <v>11</v>
      </c>
      <c r="B11" s="60">
        <v>12479473</v>
      </c>
      <c r="C11" s="33">
        <f>J11-I11</f>
        <v>12175279</v>
      </c>
      <c r="D11" s="60">
        <f>K11-S11</f>
        <v>0</v>
      </c>
      <c r="E11" s="60">
        <f>L11-R11</f>
        <v>34674475</v>
      </c>
      <c r="F11" s="68">
        <f>IF(D11=0,0,C11/D11-1)</f>
        <v>0</v>
      </c>
      <c r="G11" s="69">
        <f>IF(E11=0,0,C11/E11-1)</f>
        <v>-0.6488691177011332</v>
      </c>
      <c r="H11" s="36"/>
      <c r="I11" s="62">
        <v>82755027</v>
      </c>
      <c r="J11" s="38">
        <v>94930306</v>
      </c>
      <c r="K11" s="61">
        <v>64267349</v>
      </c>
      <c r="L11" s="61">
        <f>94400899+2677089</f>
        <v>97077988</v>
      </c>
      <c r="M11" s="68">
        <f>IF(K11=0,0,J11/K11-1)</f>
        <v>0.47711563456585093</v>
      </c>
      <c r="N11" s="69">
        <f>IF(L11=0,0,J11/L11-1)</f>
        <v>-0.022123264441780588</v>
      </c>
      <c r="O11" s="111"/>
      <c r="P11" s="116">
        <v>105352433</v>
      </c>
      <c r="R11" s="61">
        <v>62403513</v>
      </c>
      <c r="S11" s="61">
        <v>64267349</v>
      </c>
      <c r="T11" s="144"/>
      <c r="U11" s="144"/>
    </row>
    <row r="12" spans="1:21" ht="14.25">
      <c r="A12" s="20" t="s">
        <v>12</v>
      </c>
      <c r="B12" s="60">
        <v>3317272.6712328754</v>
      </c>
      <c r="C12" s="33">
        <f>J12-I12</f>
        <v>3614030.55479452</v>
      </c>
      <c r="D12" s="60">
        <f>K12-S12</f>
        <v>11965353.090000004</v>
      </c>
      <c r="E12" s="60">
        <f aca="true" t="shared" si="0" ref="E12:E31">L12-R12</f>
        <v>9195153</v>
      </c>
      <c r="F12" s="68">
        <f>IF(D12=0,0,C12/D12-1)</f>
        <v>-0.6979587206820557</v>
      </c>
      <c r="G12" s="69">
        <f>IF(E12=0,0,C12/E12-1)</f>
        <v>-0.6069635214558671</v>
      </c>
      <c r="H12" s="36"/>
      <c r="I12" s="62">
        <v>22066443.44520548</v>
      </c>
      <c r="J12" s="38">
        <v>25680474</v>
      </c>
      <c r="K12" s="61">
        <v>25613392</v>
      </c>
      <c r="L12" s="61">
        <v>26343026</v>
      </c>
      <c r="M12" s="68">
        <f>IF(K12=0,0,J12/K12-1)</f>
        <v>0.00261902054987484</v>
      </c>
      <c r="N12" s="69">
        <f>IF(L12=0,0,J12/L12-1)</f>
        <v>-0.025150945073660114</v>
      </c>
      <c r="O12" s="111"/>
      <c r="P12" s="116">
        <v>24389946.23999998</v>
      </c>
      <c r="R12" s="61">
        <v>17147873</v>
      </c>
      <c r="S12" s="61">
        <v>13648038.909999996</v>
      </c>
      <c r="T12" s="144"/>
      <c r="U12" s="144"/>
    </row>
    <row r="13" spans="1:21" ht="14.25">
      <c r="A13" s="20" t="s">
        <v>13</v>
      </c>
      <c r="B13" s="60">
        <v>7292748.671232879</v>
      </c>
      <c r="C13" s="33">
        <f>J13-I13</f>
        <v>7426673.55479452</v>
      </c>
      <c r="D13" s="60">
        <f>K13-S13</f>
        <v>5793495.189999998</v>
      </c>
      <c r="E13" s="60">
        <f t="shared" si="0"/>
        <v>19273797</v>
      </c>
      <c r="F13" s="70">
        <f>IF(C13=0,0,D13/C13-1)</f>
        <v>-0.2199071162539753</v>
      </c>
      <c r="G13" s="71">
        <f>IF(C13=0,0,E13/C13-1)</f>
        <v>1.5952126288837887</v>
      </c>
      <c r="H13" s="36"/>
      <c r="I13" s="90">
        <v>49034051.44520548</v>
      </c>
      <c r="J13" s="75">
        <v>56460725</v>
      </c>
      <c r="K13" s="76">
        <v>40236827</v>
      </c>
      <c r="L13" s="76">
        <v>57188660</v>
      </c>
      <c r="M13" s="70">
        <f>IF(J13=0,0,K13/J13-1)</f>
        <v>-0.28734838243752625</v>
      </c>
      <c r="N13" s="71">
        <f>IF(J13=0,0,L13/J13-1)</f>
        <v>0.012892767494572466</v>
      </c>
      <c r="O13" s="111"/>
      <c r="P13" s="117">
        <v>59353512.24</v>
      </c>
      <c r="R13" s="76">
        <v>37914863</v>
      </c>
      <c r="S13" s="76">
        <v>34443331.81</v>
      </c>
      <c r="T13" s="144"/>
      <c r="U13" s="144"/>
    </row>
    <row r="14" spans="1:21" ht="14.25">
      <c r="A14" s="40" t="s">
        <v>14</v>
      </c>
      <c r="B14" s="132">
        <f>+B11+B12-B13</f>
        <v>8503996.999999996</v>
      </c>
      <c r="C14" s="83">
        <f>+C11+C12-C13</f>
        <v>8362636</v>
      </c>
      <c r="D14" s="82">
        <f>+D11+D12-D13</f>
        <v>6171857.900000006</v>
      </c>
      <c r="E14" s="82">
        <f>+E11+E12-E13</f>
        <v>24595831</v>
      </c>
      <c r="F14" s="72">
        <f aca="true" t="shared" si="1" ref="F14:F22">IF(D14=0,0,C14/D14-1)</f>
        <v>0.35496249840748795</v>
      </c>
      <c r="G14" s="73">
        <f aca="true" t="shared" si="2" ref="G14:G22">IF(E14=0,0,C14/E14-1)</f>
        <v>-0.6599978264609152</v>
      </c>
      <c r="H14" s="41"/>
      <c r="I14" s="81">
        <v>55787419</v>
      </c>
      <c r="J14" s="132">
        <f>+J11+J12-J13</f>
        <v>64150055</v>
      </c>
      <c r="K14" s="82">
        <f>+K11+K12-K13</f>
        <v>49643914</v>
      </c>
      <c r="L14" s="82">
        <f>+L11+L12-L13</f>
        <v>66232354</v>
      </c>
      <c r="M14" s="102">
        <f aca="true" t="shared" si="3" ref="M14:M22">IF(K14=0,0,J14/K14-1)</f>
        <v>0.29220381374441984</v>
      </c>
      <c r="N14" s="108">
        <f aca="true" t="shared" si="4" ref="N14:N22">IF(L14=0,0,J14/L14-1)</f>
        <v>-0.03143930230835523</v>
      </c>
      <c r="O14" s="112"/>
      <c r="P14" s="118">
        <f>+P11+P12-P13</f>
        <v>70388866.99999997</v>
      </c>
      <c r="R14" s="82">
        <f>+R11+R12-R13</f>
        <v>41636523</v>
      </c>
      <c r="S14" s="82">
        <f>+S11+S12-S13</f>
        <v>43472056.099999994</v>
      </c>
      <c r="T14" s="144"/>
      <c r="U14" s="144"/>
    </row>
    <row r="15" spans="1:21" ht="14.25">
      <c r="A15" s="20" t="s">
        <v>15</v>
      </c>
      <c r="B15" s="61">
        <v>1739155</v>
      </c>
      <c r="C15" s="33">
        <f aca="true" t="shared" si="5" ref="C15:C29">J15-I15</f>
        <v>-893530</v>
      </c>
      <c r="D15" s="60">
        <f>K15-S15</f>
        <v>904171</v>
      </c>
      <c r="E15" s="60">
        <f>L15-R15</f>
        <v>4732926</v>
      </c>
      <c r="F15" s="68">
        <f t="shared" si="1"/>
        <v>-1.9882312084771576</v>
      </c>
      <c r="G15" s="69">
        <f t="shared" si="2"/>
        <v>-1.1887901902544007</v>
      </c>
      <c r="H15" s="36"/>
      <c r="I15" s="62">
        <v>11958189</v>
      </c>
      <c r="J15" s="38">
        <v>11064659</v>
      </c>
      <c r="K15" s="61">
        <v>9164295</v>
      </c>
      <c r="L15" s="61">
        <v>15058290</v>
      </c>
      <c r="M15" s="68">
        <f t="shared" si="3"/>
        <v>0.207366087625944</v>
      </c>
      <c r="N15" s="69">
        <f t="shared" si="4"/>
        <v>-0.26521145495272036</v>
      </c>
      <c r="O15" s="111"/>
      <c r="P15" s="116">
        <v>16065418</v>
      </c>
      <c r="R15" s="61">
        <v>10325364</v>
      </c>
      <c r="S15" s="61">
        <f>9164295-904171</f>
        <v>8260124</v>
      </c>
      <c r="T15" s="144"/>
      <c r="U15" s="144"/>
    </row>
    <row r="16" spans="1:21" ht="14.25">
      <c r="A16" s="20" t="s">
        <v>16</v>
      </c>
      <c r="B16" s="61">
        <v>1116347</v>
      </c>
      <c r="C16" s="33">
        <f t="shared" si="5"/>
        <v>1253833</v>
      </c>
      <c r="D16" s="60">
        <f>K16-S16</f>
        <v>704977</v>
      </c>
      <c r="E16" s="60">
        <f t="shared" si="0"/>
        <v>3581895</v>
      </c>
      <c r="F16" s="68">
        <f t="shared" si="1"/>
        <v>0.7785445482618583</v>
      </c>
      <c r="G16" s="69">
        <f t="shared" si="2"/>
        <v>-0.6499526088844034</v>
      </c>
      <c r="H16" s="36"/>
      <c r="I16" s="62">
        <v>8056259</v>
      </c>
      <c r="J16" s="38">
        <v>9310092</v>
      </c>
      <c r="K16" s="61">
        <v>5825157</v>
      </c>
      <c r="L16" s="61">
        <v>9136218</v>
      </c>
      <c r="M16" s="68">
        <f t="shared" si="3"/>
        <v>0.5982559783367212</v>
      </c>
      <c r="N16" s="69">
        <f t="shared" si="4"/>
        <v>0.019031288439045557</v>
      </c>
      <c r="O16" s="111"/>
      <c r="P16" s="116">
        <v>8704117</v>
      </c>
      <c r="R16" s="61">
        <v>5554323</v>
      </c>
      <c r="S16" s="61">
        <v>5120180</v>
      </c>
      <c r="T16" s="144"/>
      <c r="U16" s="144"/>
    </row>
    <row r="17" spans="1:21" ht="14.25">
      <c r="A17" s="20" t="s">
        <v>139</v>
      </c>
      <c r="B17" s="61"/>
      <c r="C17" s="33">
        <f t="shared" si="5"/>
        <v>1655755</v>
      </c>
      <c r="D17" s="60">
        <f>K17-S17</f>
        <v>-1312023</v>
      </c>
      <c r="E17" s="60">
        <f t="shared" si="0"/>
        <v>246716</v>
      </c>
      <c r="F17" s="68">
        <f>IF(D17=0,0,C17/D17-1)</f>
        <v>-2.2619862609115846</v>
      </c>
      <c r="G17" s="69">
        <f>IF(E17=0,0,C17/E17-1)</f>
        <v>5.711178034663337</v>
      </c>
      <c r="H17" s="36"/>
      <c r="I17" s="62"/>
      <c r="J17" s="38">
        <v>1655755</v>
      </c>
      <c r="K17" s="222">
        <v>0</v>
      </c>
      <c r="L17" s="222">
        <v>1868699</v>
      </c>
      <c r="M17" s="68">
        <f>IF(K17=0,0,J17/K17-1)</f>
        <v>0</v>
      </c>
      <c r="N17" s="69">
        <f>IF(L17=0,0,J17/L17-1)</f>
        <v>-0.11395307644516317</v>
      </c>
      <c r="O17" s="111"/>
      <c r="P17" s="223"/>
      <c r="R17" s="61">
        <v>1621983</v>
      </c>
      <c r="S17" s="61">
        <v>1312023</v>
      </c>
      <c r="T17" s="220"/>
      <c r="U17" s="220"/>
    </row>
    <row r="18" spans="1:21" ht="14.25">
      <c r="A18" s="20" t="s">
        <v>17</v>
      </c>
      <c r="B18" s="61">
        <v>-1122874</v>
      </c>
      <c r="C18" s="33">
        <f t="shared" si="5"/>
        <v>-341126</v>
      </c>
      <c r="D18" s="60">
        <f>K18-S18</f>
        <v>4312114.4</v>
      </c>
      <c r="E18" s="60">
        <f t="shared" si="0"/>
        <v>1830717</v>
      </c>
      <c r="F18" s="68">
        <f t="shared" si="1"/>
        <v>-1.0791087546285878</v>
      </c>
      <c r="G18" s="69">
        <f t="shared" si="2"/>
        <v>-1.18633464374887</v>
      </c>
      <c r="H18" s="36"/>
      <c r="I18" s="62">
        <v>1820581</v>
      </c>
      <c r="J18" s="38">
        <v>1479455</v>
      </c>
      <c r="K18" s="61">
        <v>5977903</v>
      </c>
      <c r="L18" s="61">
        <v>4357562</v>
      </c>
      <c r="M18" s="68">
        <f t="shared" si="3"/>
        <v>-0.7525127122337048</v>
      </c>
      <c r="N18" s="69">
        <f t="shared" si="4"/>
        <v>-0.6604856109907329</v>
      </c>
      <c r="O18" s="111"/>
      <c r="P18" s="116">
        <v>5285312</v>
      </c>
      <c r="R18" s="61">
        <v>2526845</v>
      </c>
      <c r="S18" s="61">
        <f>2977811.6-1312023</f>
        <v>1665788.6</v>
      </c>
      <c r="T18" s="144"/>
      <c r="U18" s="144"/>
    </row>
    <row r="19" spans="1:21" ht="14.25">
      <c r="A19" s="20" t="s">
        <v>81</v>
      </c>
      <c r="B19" s="61">
        <v>0</v>
      </c>
      <c r="C19" s="33">
        <f t="shared" si="5"/>
        <v>0</v>
      </c>
      <c r="D19" s="60">
        <v>0</v>
      </c>
      <c r="E19" s="60">
        <f t="shared" si="0"/>
        <v>0</v>
      </c>
      <c r="F19" s="68">
        <f t="shared" si="1"/>
        <v>0</v>
      </c>
      <c r="G19" s="69">
        <f t="shared" si="2"/>
        <v>0</v>
      </c>
      <c r="H19" s="162"/>
      <c r="I19" s="59">
        <v>0</v>
      </c>
      <c r="J19" s="33"/>
      <c r="K19" s="60">
        <v>0</v>
      </c>
      <c r="L19" s="60">
        <v>0</v>
      </c>
      <c r="M19" s="68">
        <f t="shared" si="3"/>
        <v>0</v>
      </c>
      <c r="N19" s="69">
        <f t="shared" si="4"/>
        <v>0</v>
      </c>
      <c r="O19" s="111"/>
      <c r="P19" s="116">
        <v>0</v>
      </c>
      <c r="R19" s="60">
        <v>0</v>
      </c>
      <c r="S19" s="61">
        <v>0</v>
      </c>
      <c r="T19" s="144"/>
      <c r="U19" s="144"/>
    </row>
    <row r="20" spans="1:21" ht="14.25">
      <c r="A20" s="20" t="s">
        <v>18</v>
      </c>
      <c r="B20" s="61">
        <v>26472</v>
      </c>
      <c r="C20" s="33">
        <f t="shared" si="5"/>
        <v>-34089</v>
      </c>
      <c r="D20" s="61">
        <f>K20-S20</f>
        <v>167863</v>
      </c>
      <c r="E20" s="60">
        <f t="shared" si="0"/>
        <v>0</v>
      </c>
      <c r="F20" s="68">
        <f t="shared" si="1"/>
        <v>-1.2030763181880462</v>
      </c>
      <c r="G20" s="69">
        <f t="shared" si="2"/>
        <v>0</v>
      </c>
      <c r="H20" s="36"/>
      <c r="I20" s="62">
        <v>83355</v>
      </c>
      <c r="J20" s="38">
        <v>49266</v>
      </c>
      <c r="K20" s="60">
        <v>206877</v>
      </c>
      <c r="L20" s="61">
        <v>0</v>
      </c>
      <c r="M20" s="68">
        <f t="shared" si="3"/>
        <v>-0.7618584956278368</v>
      </c>
      <c r="N20" s="69">
        <f t="shared" si="4"/>
        <v>0</v>
      </c>
      <c r="O20" s="111"/>
      <c r="P20" s="116">
        <v>154173</v>
      </c>
      <c r="R20" s="61">
        <v>0</v>
      </c>
      <c r="S20" s="61">
        <v>39014</v>
      </c>
      <c r="T20" s="144"/>
      <c r="U20" s="144"/>
    </row>
    <row r="21" spans="1:21" ht="14.25">
      <c r="A21" s="20" t="s">
        <v>140</v>
      </c>
      <c r="B21" s="61"/>
      <c r="C21" s="33">
        <f t="shared" si="5"/>
        <v>3233661</v>
      </c>
      <c r="D21" s="61">
        <v>303530</v>
      </c>
      <c r="E21" s="60"/>
      <c r="F21" s="68">
        <f>IF(D21=0,0,C21/D21-1)</f>
        <v>9.653513655981287</v>
      </c>
      <c r="G21" s="69">
        <f>IF(E21=0,0,C21/E21-1)</f>
        <v>0</v>
      </c>
      <c r="H21" s="36"/>
      <c r="I21" s="62"/>
      <c r="J21" s="38">
        <v>3233661</v>
      </c>
      <c r="K21" s="224">
        <v>980510</v>
      </c>
      <c r="L21" s="222"/>
      <c r="M21" s="68">
        <f>IF(K21=0,0,J21/K21-1)</f>
        <v>2.2979378078754933</v>
      </c>
      <c r="N21" s="69">
        <f>IF(L21=0,0,J21/L21-1)</f>
        <v>0</v>
      </c>
      <c r="O21" s="111"/>
      <c r="P21" s="223"/>
      <c r="R21" s="61"/>
      <c r="S21" s="61">
        <v>1926250</v>
      </c>
      <c r="T21" s="220"/>
      <c r="U21" s="220"/>
    </row>
    <row r="22" spans="1:21" ht="14.25">
      <c r="A22" s="20" t="s">
        <v>141</v>
      </c>
      <c r="B22" s="61">
        <v>-2551109</v>
      </c>
      <c r="C22" s="33">
        <f t="shared" si="5"/>
        <v>1960603</v>
      </c>
      <c r="D22" s="60">
        <v>-161754</v>
      </c>
      <c r="E22" s="60">
        <f t="shared" si="0"/>
        <v>352127</v>
      </c>
      <c r="F22" s="68">
        <f t="shared" si="1"/>
        <v>-13.120893455494146</v>
      </c>
      <c r="G22" s="69">
        <f t="shared" si="2"/>
        <v>4.567886018396772</v>
      </c>
      <c r="H22" s="36"/>
      <c r="I22" s="62">
        <v>-1215826</v>
      </c>
      <c r="J22" s="38">
        <v>744777</v>
      </c>
      <c r="K22" s="222">
        <v>0</v>
      </c>
      <c r="L22" s="222">
        <v>2168825</v>
      </c>
      <c r="M22" s="68">
        <f t="shared" si="3"/>
        <v>0</v>
      </c>
      <c r="N22" s="69">
        <f t="shared" si="4"/>
        <v>-0.6565988496075064</v>
      </c>
      <c r="O22" s="111"/>
      <c r="P22" s="223">
        <v>1170691</v>
      </c>
      <c r="R22" s="61">
        <v>1816698</v>
      </c>
      <c r="S22" s="61">
        <f>-953962+8222</f>
        <v>-945740</v>
      </c>
      <c r="T22" s="144"/>
      <c r="U22" s="144"/>
    </row>
    <row r="23" spans="1:21" ht="14.25">
      <c r="A23" s="20" t="s">
        <v>19</v>
      </c>
      <c r="B23" s="61">
        <v>-690405</v>
      </c>
      <c r="C23" s="38">
        <f t="shared" si="5"/>
        <v>-508215</v>
      </c>
      <c r="D23" s="61">
        <f>K23-S23</f>
        <v>-292146</v>
      </c>
      <c r="E23" s="61">
        <f t="shared" si="0"/>
        <v>-2416670</v>
      </c>
      <c r="F23" s="68">
        <f>IF(C23=0,0,D23/C23-1)</f>
        <v>-0.42515274047401197</v>
      </c>
      <c r="G23" s="69">
        <f>IF(C23=0,0,E23/C23-1)</f>
        <v>3.755211868992454</v>
      </c>
      <c r="H23" s="36"/>
      <c r="I23" s="62">
        <v>-8148197</v>
      </c>
      <c r="J23" s="38">
        <v>-8656412</v>
      </c>
      <c r="K23" s="61">
        <v>-1602556</v>
      </c>
      <c r="L23" s="61">
        <v>-5393360</v>
      </c>
      <c r="M23" s="68">
        <f>IF(J23=0,0,K23/J23-1)</f>
        <v>-0.8148706415544916</v>
      </c>
      <c r="N23" s="69">
        <f>IF(J23=0,0,L23/J23-1)</f>
        <v>-0.3769520212300431</v>
      </c>
      <c r="O23" s="111"/>
      <c r="P23" s="116">
        <v>-4811935</v>
      </c>
      <c r="R23" s="61">
        <v>-2976690</v>
      </c>
      <c r="S23" s="61">
        <v>-1310410</v>
      </c>
      <c r="T23" s="144"/>
      <c r="U23" s="144"/>
    </row>
    <row r="24" spans="1:21" ht="14.25">
      <c r="A24" s="20" t="s">
        <v>20</v>
      </c>
      <c r="B24" s="61">
        <v>-3647218</v>
      </c>
      <c r="C24" s="38">
        <f t="shared" si="5"/>
        <v>-3801276</v>
      </c>
      <c r="D24" s="61">
        <f>K24-S24</f>
        <v>-2337800.3999999985</v>
      </c>
      <c r="E24" s="61">
        <f t="shared" si="0"/>
        <v>-9483874</v>
      </c>
      <c r="F24" s="68">
        <f>IF(C24=0,0,D24/C24-1)</f>
        <v>-0.3849958803307104</v>
      </c>
      <c r="G24" s="69">
        <f>IF(C24=0,0,E24/C24-1)</f>
        <v>1.4949185484032204</v>
      </c>
      <c r="H24" s="36"/>
      <c r="I24" s="62">
        <v>-25583806</v>
      </c>
      <c r="J24" s="38">
        <v>-29385082</v>
      </c>
      <c r="K24" s="61">
        <v>-21730692</v>
      </c>
      <c r="L24" s="61">
        <v>-29888244</v>
      </c>
      <c r="M24" s="68">
        <f>IF(J24=0,0,K24/J24-1)</f>
        <v>-0.2604855756400476</v>
      </c>
      <c r="N24" s="69">
        <f>IF(J24=0,0,L24/J24-1)</f>
        <v>0.017123042229387098</v>
      </c>
      <c r="O24" s="111"/>
      <c r="P24" s="116">
        <v>-33291489.6</v>
      </c>
      <c r="R24" s="61">
        <v>-20404370</v>
      </c>
      <c r="S24" s="61">
        <v>-19392891.6</v>
      </c>
      <c r="T24" s="144"/>
      <c r="U24" s="144"/>
    </row>
    <row r="25" spans="1:21" ht="14.25">
      <c r="A25" s="20" t="s">
        <v>21</v>
      </c>
      <c r="B25" s="61">
        <v>-4178222</v>
      </c>
      <c r="C25" s="38">
        <f t="shared" si="5"/>
        <v>-3510771</v>
      </c>
      <c r="D25" s="61">
        <f>K25-S25</f>
        <v>-3390020.1000000015</v>
      </c>
      <c r="E25" s="61">
        <f t="shared" si="0"/>
        <v>-16449507</v>
      </c>
      <c r="F25" s="68">
        <f>IF(C25=0,0,D25/C25-1)</f>
        <v>-0.03439441080036221</v>
      </c>
      <c r="G25" s="69">
        <f>IF(C25=0,0,E25/C25-1)</f>
        <v>3.685440035821191</v>
      </c>
      <c r="H25" s="36"/>
      <c r="I25" s="62">
        <v>-28330116</v>
      </c>
      <c r="J25" s="38">
        <v>-31840887</v>
      </c>
      <c r="K25" s="61">
        <v>-20038367</v>
      </c>
      <c r="L25" s="61">
        <v>-34251742</v>
      </c>
      <c r="M25" s="68">
        <f>IF(J25=0,0,K25/J25-1)</f>
        <v>-0.3706718346131501</v>
      </c>
      <c r="N25" s="69">
        <f>IF(J25=0,0,L25/J25-1)</f>
        <v>0.0757156984979721</v>
      </c>
      <c r="O25" s="111"/>
      <c r="P25" s="116">
        <v>-31072359.1</v>
      </c>
      <c r="R25" s="61">
        <v>-17802235</v>
      </c>
      <c r="S25" s="61">
        <f>-17552517.9+904171</f>
        <v>-16648346.899999999</v>
      </c>
      <c r="T25" s="144"/>
      <c r="U25" s="144"/>
    </row>
    <row r="26" spans="1:21" ht="14.25">
      <c r="A26" s="20" t="s">
        <v>22</v>
      </c>
      <c r="B26" s="60">
        <v>0</v>
      </c>
      <c r="C26" s="33">
        <f t="shared" si="5"/>
        <v>0</v>
      </c>
      <c r="D26" s="60">
        <v>0</v>
      </c>
      <c r="E26" s="60">
        <f t="shared" si="0"/>
        <v>0</v>
      </c>
      <c r="F26" s="68">
        <f>IF(C26=0,0,D26/C26-1)</f>
        <v>0</v>
      </c>
      <c r="G26" s="69">
        <f>IF(C26=0,0,E26/C26-1)</f>
        <v>0</v>
      </c>
      <c r="H26" s="36"/>
      <c r="I26" s="62">
        <v>0</v>
      </c>
      <c r="J26" s="38">
        <v>0</v>
      </c>
      <c r="K26" s="61">
        <v>-2165020</v>
      </c>
      <c r="L26" s="61">
        <v>0</v>
      </c>
      <c r="M26" s="68">
        <f>IF(J26=0,0,K26/J26-1)</f>
        <v>0</v>
      </c>
      <c r="N26" s="69">
        <f>IF(J26=0,0,L26/J26-1)</f>
        <v>0</v>
      </c>
      <c r="O26" s="111"/>
      <c r="P26" s="116">
        <v>-2165020</v>
      </c>
      <c r="R26" s="61">
        <v>0</v>
      </c>
      <c r="S26" s="61">
        <v>-2165020</v>
      </c>
      <c r="T26" s="144"/>
      <c r="U26" s="144"/>
    </row>
    <row r="27" spans="1:21" ht="14.25">
      <c r="A27" s="20" t="s">
        <v>23</v>
      </c>
      <c r="B27" s="65">
        <v>0</v>
      </c>
      <c r="C27" s="45">
        <f t="shared" si="5"/>
        <v>0</v>
      </c>
      <c r="D27" s="65">
        <v>0</v>
      </c>
      <c r="E27" s="65">
        <f t="shared" si="0"/>
        <v>0</v>
      </c>
      <c r="F27" s="70">
        <f>IF(C27=0,0,D27/C27-1)</f>
        <v>0</v>
      </c>
      <c r="G27" s="71">
        <f>IF(C27=0,0,E27/C27-1)</f>
        <v>0</v>
      </c>
      <c r="H27" s="36"/>
      <c r="I27" s="90">
        <v>0</v>
      </c>
      <c r="J27" s="75">
        <v>0</v>
      </c>
      <c r="K27" s="76">
        <f>D27</f>
        <v>0</v>
      </c>
      <c r="L27" s="76">
        <v>0</v>
      </c>
      <c r="M27" s="70">
        <f>IF(J27=0,0,K27/J27-1)</f>
        <v>0</v>
      </c>
      <c r="N27" s="71">
        <f>IF(J27=0,0,L27/J27-1)</f>
        <v>0</v>
      </c>
      <c r="O27" s="111"/>
      <c r="P27" s="117">
        <v>0</v>
      </c>
      <c r="R27" s="76">
        <v>0</v>
      </c>
      <c r="S27" s="76">
        <f>L27</f>
        <v>0</v>
      </c>
      <c r="T27" s="144"/>
      <c r="U27" s="144"/>
    </row>
    <row r="28" spans="1:21" ht="14.25">
      <c r="A28" s="40" t="s">
        <v>24</v>
      </c>
      <c r="B28" s="63">
        <f>SUM(B14:B27)</f>
        <v>-803857.0000000037</v>
      </c>
      <c r="C28" s="63">
        <f>SUM(C14:C27)</f>
        <v>7377481</v>
      </c>
      <c r="D28" s="64">
        <f>SUM(D14:D27)</f>
        <v>5070769.800000006</v>
      </c>
      <c r="E28" s="64">
        <f>SUM(E14:E27)</f>
        <v>6990161</v>
      </c>
      <c r="F28" s="68">
        <f>IF(D28=0,0,C28/D28-1)</f>
        <v>0.45490355330269394</v>
      </c>
      <c r="G28" s="69">
        <f>IF(E28=0,0,C28/E28-1)</f>
        <v>0.05540931031488405</v>
      </c>
      <c r="H28" s="41"/>
      <c r="I28" s="81">
        <v>14427858</v>
      </c>
      <c r="J28" s="132">
        <f>SUM(J14:J27)</f>
        <v>21805339</v>
      </c>
      <c r="K28" s="82">
        <f>SUM(K14:K27)</f>
        <v>26262021</v>
      </c>
      <c r="L28" s="82">
        <f>SUM(L14:L25)</f>
        <v>29288602</v>
      </c>
      <c r="M28" s="102">
        <f>IF(K28=0,0,J28/K28-1)</f>
        <v>-0.16970064870483503</v>
      </c>
      <c r="N28" s="86">
        <f>IF(L28=0,0,J28/L28-1)</f>
        <v>-0.25550086002739225</v>
      </c>
      <c r="O28" s="111"/>
      <c r="P28" s="119">
        <f>SUM(P14:P27)</f>
        <v>30427774.299999967</v>
      </c>
      <c r="Q28" s="1"/>
      <c r="R28" s="82">
        <f>SUM(R14:R25)</f>
        <v>22298441</v>
      </c>
      <c r="S28" s="82">
        <f>SUM(S14:S27)</f>
        <v>21333027.199999996</v>
      </c>
      <c r="T28" s="144"/>
      <c r="U28" s="144"/>
    </row>
    <row r="29" spans="1:21" ht="14.25">
      <c r="A29" s="20" t="s">
        <v>137</v>
      </c>
      <c r="B29" s="61">
        <v>488544.5</v>
      </c>
      <c r="C29" s="38">
        <f t="shared" si="5"/>
        <v>378832.5</v>
      </c>
      <c r="D29" s="65">
        <f>K29-S29</f>
        <v>464214</v>
      </c>
      <c r="E29" s="61">
        <f t="shared" si="0"/>
        <v>1130884.85</v>
      </c>
      <c r="F29" s="70">
        <f>IF(C29=0,0,D29/C29-1)</f>
        <v>0.2253806101641227</v>
      </c>
      <c r="G29" s="71">
        <f>IF(C29=0,0,E29/C29-1)</f>
        <v>1.9851843492836547</v>
      </c>
      <c r="H29" s="36"/>
      <c r="I29" s="90">
        <v>2501377.5</v>
      </c>
      <c r="J29" s="75">
        <v>2880210</v>
      </c>
      <c r="K29" s="76">
        <v>3604511</v>
      </c>
      <c r="L29" s="76">
        <v>4475651</v>
      </c>
      <c r="M29" s="70">
        <f>IF(J29=0,0,K29/J29-1)</f>
        <v>0.2514750660542113</v>
      </c>
      <c r="N29" s="71">
        <f>IF(J29=0,0,L29/J29-1)</f>
        <v>0.5539321785564246</v>
      </c>
      <c r="O29" s="111"/>
      <c r="P29" s="120">
        <f>P28*0.14995475</f>
        <v>4562789.28821292</v>
      </c>
      <c r="R29" s="76">
        <f>R28*0.15</f>
        <v>3344766.15</v>
      </c>
      <c r="S29" s="76">
        <v>3140297</v>
      </c>
      <c r="T29" s="144"/>
      <c r="U29" s="144"/>
    </row>
    <row r="30" spans="1:21" s="5" customFormat="1" ht="14.25">
      <c r="A30" s="40" t="s">
        <v>25</v>
      </c>
      <c r="B30" s="132">
        <f>+B28-B29</f>
        <v>-1292401.5000000037</v>
      </c>
      <c r="C30" s="83">
        <f>+C28-C29</f>
        <v>6998648.5</v>
      </c>
      <c r="D30" s="64">
        <f>+D28-D29</f>
        <v>4606555.800000006</v>
      </c>
      <c r="E30" s="218">
        <f>+E28-E29</f>
        <v>5859276.15</v>
      </c>
      <c r="F30" s="68">
        <f>IF(D30=0,0,C30/D30-1)</f>
        <v>0.519280087739302</v>
      </c>
      <c r="G30" s="69">
        <f>IF(E30=0,0,C30/E30-1)</f>
        <v>0.19445616161989565</v>
      </c>
      <c r="H30" s="41"/>
      <c r="I30" s="81">
        <v>11926480.5</v>
      </c>
      <c r="J30" s="132">
        <f>+J28-J29</f>
        <v>18925129</v>
      </c>
      <c r="K30" s="82">
        <f>+K28-K29</f>
        <v>22657510</v>
      </c>
      <c r="L30" s="82">
        <f>+L28-L29</f>
        <v>24812951</v>
      </c>
      <c r="M30" s="102">
        <f>IF(K30=0,0,J30/K30-1)</f>
        <v>-0.1647304138892579</v>
      </c>
      <c r="N30" s="86">
        <f>IF(L30=0,0,J30/L30-1)</f>
        <v>-0.23728826127936176</v>
      </c>
      <c r="O30" s="111"/>
      <c r="P30" s="121">
        <f>+P28-P29</f>
        <v>25864985.01178705</v>
      </c>
      <c r="R30" s="82">
        <f>+R28-R29</f>
        <v>18953674.85</v>
      </c>
      <c r="S30" s="82">
        <f>+S28-S29</f>
        <v>18192730.199999996</v>
      </c>
      <c r="T30" s="161"/>
      <c r="U30" s="161"/>
    </row>
    <row r="31" spans="1:21" ht="14.25">
      <c r="A31" s="20" t="s">
        <v>26</v>
      </c>
      <c r="B31" s="61">
        <v>177053.8500000001</v>
      </c>
      <c r="C31" s="38">
        <f>J31-I31</f>
        <v>-1343648.05</v>
      </c>
      <c r="D31" s="60">
        <f>K31-S31</f>
        <v>0</v>
      </c>
      <c r="E31" s="61">
        <f t="shared" si="0"/>
        <v>410157</v>
      </c>
      <c r="F31" s="70">
        <f>IF(C31=0,0,D31/C31-1)</f>
        <v>-1</v>
      </c>
      <c r="G31" s="71">
        <f>IF(C31=0,0,E31/C31-1)</f>
        <v>-1.30525627600174</v>
      </c>
      <c r="H31" s="36"/>
      <c r="I31" s="90">
        <v>1492894.05</v>
      </c>
      <c r="J31" s="75">
        <v>149246</v>
      </c>
      <c r="K31" s="76">
        <v>-20465</v>
      </c>
      <c r="L31" s="76">
        <v>1691005</v>
      </c>
      <c r="M31" s="70">
        <f>IF(J31=0,0,K31/J31-1)</f>
        <v>-1.1371226029508328</v>
      </c>
      <c r="N31" s="71">
        <f>IF(J31=0,0,L31/J31-1)</f>
        <v>10.330320410597269</v>
      </c>
      <c r="O31" s="111"/>
      <c r="P31" s="122">
        <v>-159813</v>
      </c>
      <c r="R31" s="76">
        <v>1280848</v>
      </c>
      <c r="S31" s="76">
        <v>-20465</v>
      </c>
      <c r="T31" s="144"/>
      <c r="U31" s="144"/>
    </row>
    <row r="32" spans="1:21" ht="15" customHeight="1" thickBot="1">
      <c r="A32" s="40" t="s">
        <v>27</v>
      </c>
      <c r="B32" s="133">
        <f>+B30-B31</f>
        <v>-1469455.3500000038</v>
      </c>
      <c r="C32" s="66">
        <f>+C30-C31</f>
        <v>8342296.55</v>
      </c>
      <c r="D32" s="67">
        <f>+D30-D31</f>
        <v>4606555.800000006</v>
      </c>
      <c r="E32" s="67">
        <f>+E30-E31</f>
        <v>5449119.15</v>
      </c>
      <c r="F32" s="91">
        <f>IF(D32=0,0,C32/D32-1)</f>
        <v>0.8109617927563122</v>
      </c>
      <c r="G32" s="92">
        <f>IF(E32=0,0,C32/E32-1)</f>
        <v>0.5309440517555941</v>
      </c>
      <c r="H32" s="41"/>
      <c r="I32" s="104">
        <v>10433586.45</v>
      </c>
      <c r="J32" s="105">
        <f>+J30-J31</f>
        <v>18775883</v>
      </c>
      <c r="K32" s="107">
        <f>+K30+K31</f>
        <v>22637045</v>
      </c>
      <c r="L32" s="107">
        <f>+L30-L31</f>
        <v>23121946</v>
      </c>
      <c r="M32" s="106">
        <f>IF(K32=0,0,J32/K32-1)</f>
        <v>-0.17056828751279152</v>
      </c>
      <c r="N32" s="109">
        <f>IF(L32=0,0,J32/L32-1)</f>
        <v>-0.18796268272575323</v>
      </c>
      <c r="O32" s="111"/>
      <c r="P32" s="123">
        <f>+P30-P31</f>
        <v>26024798.01178705</v>
      </c>
      <c r="R32" s="107">
        <f>+R30-R31</f>
        <v>17672826.85</v>
      </c>
      <c r="S32" s="107">
        <f>+S30+S31</f>
        <v>18172265.199999996</v>
      </c>
      <c r="T32" s="144"/>
      <c r="U32" s="144"/>
    </row>
    <row r="33" spans="1:16" ht="15" thickTop="1">
      <c r="A33" s="42"/>
      <c r="B33" s="43"/>
      <c r="C33" s="44"/>
      <c r="D33" s="44"/>
      <c r="E33" s="44"/>
      <c r="F33" s="44"/>
      <c r="G33" s="46"/>
      <c r="H33" s="36"/>
      <c r="I33" s="103"/>
      <c r="J33" s="44"/>
      <c r="K33" s="44"/>
      <c r="L33" s="44"/>
      <c r="M33" s="44"/>
      <c r="N33" s="46"/>
      <c r="O33" s="32"/>
      <c r="P33" s="42"/>
    </row>
    <row r="34" ht="14.25" hidden="1"/>
    <row r="35" ht="14.25" hidden="1">
      <c r="P35">
        <v>26024798.229999967</v>
      </c>
    </row>
    <row r="36" ht="14.25" hidden="1"/>
    <row r="37" ht="14.25" hidden="1"/>
    <row r="38" ht="14.25" hidden="1"/>
    <row r="39" ht="14.25" hidden="1"/>
    <row r="40" spans="1:3" ht="14.25" hidden="1">
      <c r="A40" s="7" t="s">
        <v>77</v>
      </c>
      <c r="B40" s="89"/>
      <c r="C40" s="3"/>
    </row>
    <row r="41" spans="1:3" ht="14.25" hidden="1">
      <c r="A41" s="7" t="s">
        <v>78</v>
      </c>
      <c r="B41" s="89"/>
      <c r="C41" s="3"/>
    </row>
    <row r="42" spans="1:3" ht="14.25" hidden="1">
      <c r="A42" t="s">
        <v>79</v>
      </c>
      <c r="C42" s="3"/>
    </row>
    <row r="43" ht="14.25" hidden="1"/>
    <row r="44" spans="1:3" ht="14.25" hidden="1">
      <c r="A44" t="s">
        <v>80</v>
      </c>
      <c r="C44" s="3"/>
    </row>
    <row r="45" ht="14.25" hidden="1"/>
    <row r="47" spans="6:10" ht="14.25">
      <c r="F47" s="144"/>
      <c r="G47" s="144"/>
      <c r="J47" s="163"/>
    </row>
    <row r="48" spans="1:10" ht="14.25">
      <c r="A48" s="192" t="s">
        <v>126</v>
      </c>
      <c r="F48" s="144"/>
      <c r="G48" s="144"/>
      <c r="J48" s="209">
        <f>J28-J25-J24-J23</f>
        <v>91687720</v>
      </c>
    </row>
    <row r="49" spans="1:10" ht="14.25">
      <c r="A49" s="192" t="s">
        <v>127</v>
      </c>
      <c r="F49" s="144"/>
      <c r="G49" s="144"/>
      <c r="J49" s="210">
        <f>J15+J16+J18+J20+J22</f>
        <v>22648249</v>
      </c>
    </row>
    <row r="50" spans="1:10" ht="14.25">
      <c r="A50" s="192" t="s">
        <v>128</v>
      </c>
      <c r="F50" s="144"/>
      <c r="G50" s="144"/>
      <c r="J50" s="211">
        <f>-J25-J24-J23</f>
        <v>69882381</v>
      </c>
    </row>
    <row r="51" spans="1:10" ht="14.25">
      <c r="A51" s="192" t="s">
        <v>129</v>
      </c>
      <c r="F51" s="144"/>
      <c r="G51" s="144"/>
      <c r="J51" s="211">
        <f>-J25-J24</f>
        <v>61225969</v>
      </c>
    </row>
    <row r="52" spans="1:10" ht="14.25">
      <c r="A52" s="196" t="s">
        <v>130</v>
      </c>
      <c r="F52" s="144"/>
      <c r="G52" s="144"/>
      <c r="J52" s="211">
        <f>J24</f>
        <v>-29385082</v>
      </c>
    </row>
    <row r="53" spans="1:10" ht="14.25">
      <c r="A53" s="197" t="s">
        <v>131</v>
      </c>
      <c r="F53" s="144"/>
      <c r="G53" s="144"/>
      <c r="J53" s="212">
        <f>+J32/(465+158)</f>
        <v>30137.85393258427</v>
      </c>
    </row>
    <row r="54" spans="1:10" ht="14.25">
      <c r="A54" s="197" t="s">
        <v>132</v>
      </c>
      <c r="F54" s="144"/>
      <c r="G54" s="144"/>
      <c r="J54" s="213">
        <f>+J24/(466+158)</f>
        <v>-47091.47756410256</v>
      </c>
    </row>
    <row r="55" spans="1:10" ht="14.25">
      <c r="A55" s="199"/>
      <c r="F55" s="144"/>
      <c r="G55" s="144"/>
      <c r="J55" s="214"/>
    </row>
    <row r="56" spans="1:10" ht="14.25">
      <c r="A56" s="198" t="s">
        <v>133</v>
      </c>
      <c r="F56" s="144"/>
      <c r="G56" s="144"/>
      <c r="J56" s="215">
        <f>(J50/J48)</f>
        <v>0.7621781957278466</v>
      </c>
    </row>
    <row r="57" spans="1:10" ht="14.25">
      <c r="A57" s="198" t="s">
        <v>134</v>
      </c>
      <c r="F57" s="144"/>
      <c r="G57" s="144"/>
      <c r="J57" s="216">
        <f>(J51/J48)</f>
        <v>0.6677662941122322</v>
      </c>
    </row>
    <row r="58" spans="1:10" ht="14.25">
      <c r="A58" s="197" t="s">
        <v>135</v>
      </c>
      <c r="F58" s="144"/>
      <c r="G58" s="144"/>
      <c r="J58" s="216">
        <f>(J52/J48)</f>
        <v>-0.3204909228847658</v>
      </c>
    </row>
    <row r="59" spans="1:10" ht="14.25">
      <c r="A59" s="197" t="s">
        <v>136</v>
      </c>
      <c r="F59" s="144"/>
      <c r="G59" s="144"/>
      <c r="J59" s="216">
        <f>(J49/J52)</f>
        <v>-0.7707396902959127</v>
      </c>
    </row>
    <row r="60" spans="6:7" ht="14.25">
      <c r="F60" s="144"/>
      <c r="G60" s="144"/>
    </row>
    <row r="61" spans="6:7" ht="14.25">
      <c r="F61" s="144"/>
      <c r="G61" s="144"/>
    </row>
    <row r="62" spans="6:7" ht="14.25">
      <c r="F62" s="144"/>
      <c r="G62" s="144"/>
    </row>
    <row r="63" spans="6:7" ht="14.25">
      <c r="F63" s="144"/>
      <c r="G63" s="144"/>
    </row>
    <row r="64" spans="6:7" ht="14.25">
      <c r="F64" s="144"/>
      <c r="G64" s="144"/>
    </row>
    <row r="65" spans="6:7" ht="14.25">
      <c r="F65" s="144"/>
      <c r="G65" s="144"/>
    </row>
    <row r="66" spans="6:7" ht="14.25">
      <c r="F66" s="144"/>
      <c r="G66" s="144"/>
    </row>
  </sheetData>
  <sheetProtection/>
  <mergeCells count="2">
    <mergeCell ref="B6:G6"/>
    <mergeCell ref="I6:N6"/>
  </mergeCells>
  <printOptions/>
  <pageMargins left="0.2" right="0.2" top="0.75" bottom="0.75" header="0.3" footer="0.3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3"/>
  <sheetViews>
    <sheetView tabSelected="1" view="pageLayout" workbookViewId="0" topLeftCell="J19">
      <selection activeCell="Y11" sqref="Y11"/>
    </sheetView>
  </sheetViews>
  <sheetFormatPr defaultColWidth="9.140625" defaultRowHeight="15"/>
  <cols>
    <col min="1" max="1" width="42.28125" style="0" customWidth="1"/>
    <col min="2" max="2" width="14.140625" style="0" bestFit="1" customWidth="1"/>
    <col min="3" max="3" width="11.57421875" style="0" customWidth="1"/>
    <col min="4" max="4" width="12.421875" style="0" customWidth="1"/>
    <col min="5" max="5" width="11.57421875" style="0" hidden="1" customWidth="1"/>
    <col min="6" max="6" width="9.421875" style="0" bestFit="1" customWidth="1"/>
    <col min="7" max="7" width="9.421875" style="0" hidden="1" customWidth="1"/>
    <col min="8" max="8" width="1.1484375" style="8" customWidth="1"/>
    <col min="9" max="9" width="12.8515625" style="0" customWidth="1"/>
    <col min="10" max="11" width="12.140625" style="0" customWidth="1"/>
    <col min="12" max="12" width="12.140625" style="0" hidden="1" customWidth="1"/>
    <col min="13" max="13" width="12.140625" style="0" customWidth="1"/>
    <col min="14" max="14" width="10.140625" style="0" customWidth="1"/>
    <col min="15" max="15" width="9.8515625" style="0" customWidth="1"/>
    <col min="16" max="16" width="0.9921875" style="0" customWidth="1"/>
    <col min="17" max="17" width="12.421875" style="0" customWidth="1"/>
    <col min="18" max="18" width="3.8515625" style="0" hidden="1" customWidth="1"/>
    <col min="19" max="19" width="11.00390625" style="0" hidden="1" customWidth="1"/>
    <col min="20" max="20" width="11.421875" style="0" hidden="1" customWidth="1"/>
    <col min="21" max="21" width="14.28125" style="0" hidden="1" customWidth="1"/>
    <col min="22" max="22" width="15.57421875" style="0" customWidth="1"/>
    <col min="23" max="23" width="11.421875" style="0" customWidth="1"/>
    <col min="24" max="24" width="10.421875" style="0" customWidth="1"/>
    <col min="25" max="25" width="14.421875" style="0" customWidth="1"/>
    <col min="27" max="29" width="10.421875" style="0" bestFit="1" customWidth="1"/>
  </cols>
  <sheetData>
    <row r="1" spans="1:22" ht="14.25">
      <c r="A1" s="274" t="s">
        <v>84</v>
      </c>
      <c r="B1" s="245"/>
      <c r="C1" s="245"/>
      <c r="D1" s="245"/>
      <c r="E1" s="246"/>
      <c r="F1" s="245"/>
      <c r="G1" s="245"/>
      <c r="H1" s="247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ht="14.25">
      <c r="A2" s="274" t="s">
        <v>82</v>
      </c>
      <c r="B2" s="245"/>
      <c r="C2" s="245"/>
      <c r="D2" s="245"/>
      <c r="E2" s="245"/>
      <c r="F2" s="245"/>
      <c r="G2" s="245"/>
      <c r="H2" s="247"/>
      <c r="I2" s="245"/>
      <c r="J2" s="245"/>
      <c r="K2" s="245"/>
      <c r="L2" s="248"/>
      <c r="M2" s="248"/>
      <c r="N2" s="245"/>
      <c r="O2" s="245"/>
      <c r="P2" s="245"/>
      <c r="Q2" s="245"/>
      <c r="R2" s="245"/>
      <c r="S2" s="245"/>
      <c r="T2" s="245"/>
      <c r="U2" s="245"/>
      <c r="V2" s="245"/>
    </row>
    <row r="3" spans="1:22" ht="14.25">
      <c r="A3" s="275" t="s">
        <v>187</v>
      </c>
      <c r="B3" s="245"/>
      <c r="C3" s="245"/>
      <c r="D3" s="245"/>
      <c r="E3" s="245"/>
      <c r="F3" s="245"/>
      <c r="G3" s="245"/>
      <c r="H3" s="247"/>
      <c r="I3" s="245"/>
      <c r="J3" s="248"/>
      <c r="K3" s="245"/>
      <c r="L3" s="248"/>
      <c r="M3" s="248"/>
      <c r="N3" s="245"/>
      <c r="O3" s="245"/>
      <c r="P3" s="245"/>
      <c r="Q3" s="245"/>
      <c r="R3" s="245"/>
      <c r="S3" s="245"/>
      <c r="T3" s="245"/>
      <c r="U3" s="245"/>
      <c r="V3" s="245"/>
    </row>
    <row r="4" spans="1:22" ht="14.25">
      <c r="A4" s="276" t="s">
        <v>83</v>
      </c>
      <c r="B4" s="245"/>
      <c r="C4" s="245"/>
      <c r="D4" s="245"/>
      <c r="E4" s="245"/>
      <c r="F4" s="245"/>
      <c r="G4" s="245"/>
      <c r="H4" s="247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14.25">
      <c r="A5" s="245"/>
      <c r="B5" s="245"/>
      <c r="C5" s="245"/>
      <c r="D5" s="245"/>
      <c r="E5" s="245"/>
      <c r="F5" s="245"/>
      <c r="G5" s="245"/>
      <c r="H5" s="247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</row>
    <row r="6" spans="1:22" ht="14.25">
      <c r="A6" s="249"/>
      <c r="B6" s="309" t="s">
        <v>0</v>
      </c>
      <c r="C6" s="310"/>
      <c r="D6" s="310"/>
      <c r="E6" s="310"/>
      <c r="F6" s="310"/>
      <c r="G6" s="311"/>
      <c r="H6" s="250"/>
      <c r="I6" s="312" t="s">
        <v>1</v>
      </c>
      <c r="J6" s="313"/>
      <c r="K6" s="313"/>
      <c r="L6" s="313"/>
      <c r="M6" s="313"/>
      <c r="N6" s="313"/>
      <c r="O6" s="314"/>
      <c r="P6" s="251"/>
      <c r="Q6" s="252"/>
      <c r="R6" s="245"/>
      <c r="S6" s="245"/>
      <c r="T6" s="245"/>
      <c r="U6" s="245"/>
      <c r="V6" s="245"/>
    </row>
    <row r="7" spans="1:25" ht="14.25">
      <c r="A7" s="253"/>
      <c r="B7" s="53" t="s">
        <v>2</v>
      </c>
      <c r="C7" s="57"/>
      <c r="D7" s="54"/>
      <c r="E7" s="54"/>
      <c r="F7" s="54"/>
      <c r="G7" s="55"/>
      <c r="H7" s="56"/>
      <c r="I7" s="279" t="s">
        <v>2</v>
      </c>
      <c r="J7" s="16" t="s">
        <v>2</v>
      </c>
      <c r="K7" s="134" t="s">
        <v>3</v>
      </c>
      <c r="L7" s="134"/>
      <c r="M7" s="134"/>
      <c r="N7" s="134"/>
      <c r="O7" s="17"/>
      <c r="P7" s="56"/>
      <c r="Q7" s="113" t="s">
        <v>3</v>
      </c>
      <c r="R7" s="245"/>
      <c r="S7" s="245"/>
      <c r="T7" s="134" t="s">
        <v>3</v>
      </c>
      <c r="U7" s="245"/>
      <c r="V7" s="16" t="s">
        <v>2</v>
      </c>
      <c r="W7" s="318" t="s">
        <v>188</v>
      </c>
      <c r="X7" s="317"/>
      <c r="Y7" s="318" t="s">
        <v>189</v>
      </c>
    </row>
    <row r="8" spans="1:25" ht="14.25">
      <c r="A8" s="253"/>
      <c r="B8" s="53" t="s">
        <v>4</v>
      </c>
      <c r="C8" s="57" t="s">
        <v>4</v>
      </c>
      <c r="D8" s="54" t="s">
        <v>4</v>
      </c>
      <c r="E8" s="54" t="s">
        <v>6</v>
      </c>
      <c r="F8" s="54" t="s">
        <v>9</v>
      </c>
      <c r="G8" s="55" t="s">
        <v>6</v>
      </c>
      <c r="H8" s="56"/>
      <c r="I8" s="280" t="s">
        <v>7</v>
      </c>
      <c r="J8" s="57" t="s">
        <v>7</v>
      </c>
      <c r="K8" s="54" t="s">
        <v>8</v>
      </c>
      <c r="L8" s="54" t="s">
        <v>6</v>
      </c>
      <c r="M8" s="54" t="s">
        <v>6</v>
      </c>
      <c r="N8" s="54" t="s">
        <v>9</v>
      </c>
      <c r="O8" s="55" t="s">
        <v>6</v>
      </c>
      <c r="P8" s="56"/>
      <c r="Q8" s="114" t="s">
        <v>7</v>
      </c>
      <c r="R8" s="245"/>
      <c r="S8" s="254" t="s">
        <v>6</v>
      </c>
      <c r="T8" s="54" t="s">
        <v>8</v>
      </c>
      <c r="U8" s="245"/>
      <c r="V8" s="57" t="s">
        <v>7</v>
      </c>
      <c r="W8" s="318"/>
      <c r="X8" s="317"/>
      <c r="Y8" s="318"/>
    </row>
    <row r="9" spans="1:25" ht="14.25">
      <c r="A9" s="253"/>
      <c r="B9" s="21">
        <v>45047</v>
      </c>
      <c r="C9" s="23">
        <v>45078</v>
      </c>
      <c r="D9" s="22">
        <v>44713</v>
      </c>
      <c r="E9" s="22">
        <v>42887</v>
      </c>
      <c r="F9" s="58" t="s">
        <v>10</v>
      </c>
      <c r="G9" s="27" t="s">
        <v>10</v>
      </c>
      <c r="H9" s="56"/>
      <c r="I9" s="97">
        <v>45047</v>
      </c>
      <c r="J9" s="23">
        <v>45078</v>
      </c>
      <c r="K9" s="22">
        <v>44713</v>
      </c>
      <c r="L9" s="22">
        <v>42856</v>
      </c>
      <c r="M9" s="22">
        <v>45261</v>
      </c>
      <c r="N9" s="58" t="s">
        <v>10</v>
      </c>
      <c r="O9" s="27" t="s">
        <v>10</v>
      </c>
      <c r="P9" s="56"/>
      <c r="Q9" s="125">
        <v>44896</v>
      </c>
      <c r="R9" s="245"/>
      <c r="S9" s="255">
        <v>42856</v>
      </c>
      <c r="T9" s="22">
        <v>44683</v>
      </c>
      <c r="U9" s="245"/>
      <c r="V9" s="23">
        <v>44986</v>
      </c>
      <c r="W9" s="318"/>
      <c r="X9" s="317"/>
      <c r="Y9" s="318"/>
    </row>
    <row r="10" spans="1:22" ht="14.25">
      <c r="A10" s="253"/>
      <c r="B10" s="28"/>
      <c r="C10" s="30"/>
      <c r="D10" s="29"/>
      <c r="E10" s="29"/>
      <c r="F10" s="29"/>
      <c r="G10" s="31"/>
      <c r="H10" s="36"/>
      <c r="I10" s="98"/>
      <c r="J10" s="99"/>
      <c r="K10" s="100"/>
      <c r="L10" s="100"/>
      <c r="M10" s="100"/>
      <c r="N10" s="100"/>
      <c r="O10" s="101"/>
      <c r="P10" s="32"/>
      <c r="Q10" s="115"/>
      <c r="R10" s="245"/>
      <c r="S10" s="256"/>
      <c r="T10" s="100"/>
      <c r="U10" s="245"/>
      <c r="V10" s="99"/>
    </row>
    <row r="11" spans="1:26" ht="14.25">
      <c r="A11" s="20" t="s">
        <v>11</v>
      </c>
      <c r="B11" s="277">
        <v>4816002</v>
      </c>
      <c r="C11" s="278">
        <f>J11-I11</f>
        <v>5289162.670000002</v>
      </c>
      <c r="D11" s="277">
        <f>K11-T11</f>
        <v>4522812</v>
      </c>
      <c r="E11" s="60">
        <f>L11-S11</f>
        <v>45602294</v>
      </c>
      <c r="F11" s="68">
        <f>IF(D11=0,0,C11/D11-1)</f>
        <v>0.16944119499108123</v>
      </c>
      <c r="G11" s="69">
        <f>IF(E11=0,0,C11/E11-1)</f>
        <v>-0.8840154254082042</v>
      </c>
      <c r="H11" s="36"/>
      <c r="I11" s="62">
        <v>22992840</v>
      </c>
      <c r="J11" s="242">
        <v>28282002.67</v>
      </c>
      <c r="K11" s="241">
        <v>24801646</v>
      </c>
      <c r="L11" s="281">
        <v>45602294</v>
      </c>
      <c r="M11" s="281">
        <v>57848814</v>
      </c>
      <c r="N11" s="68">
        <f>IF(K11=0,0,J11/K11-1)</f>
        <v>0.14032764881814708</v>
      </c>
      <c r="O11" s="69">
        <f>IF(L11=0,0,J11/L11-1)</f>
        <v>-0.3798118430182481</v>
      </c>
      <c r="P11" s="111"/>
      <c r="Q11" s="282">
        <v>50953209</v>
      </c>
      <c r="R11" s="245"/>
      <c r="S11" s="257"/>
      <c r="T11" s="241">
        <v>20278834</v>
      </c>
      <c r="U11" s="245"/>
      <c r="V11" s="242">
        <v>13563632</v>
      </c>
      <c r="W11" s="163">
        <f>+J11-V11</f>
        <v>14718370.670000002</v>
      </c>
      <c r="X11" s="315">
        <f>+W11/V11</f>
        <v>1.0851349159281232</v>
      </c>
      <c r="Y11" s="163">
        <f>+J11-K11</f>
        <v>3480356.670000002</v>
      </c>
      <c r="Z11" s="315">
        <f>+Y11/K11</f>
        <v>0.14032764881814705</v>
      </c>
    </row>
    <row r="12" spans="1:26" ht="14.25">
      <c r="A12" s="20" t="s">
        <v>12</v>
      </c>
      <c r="B12" s="277">
        <v>3840485</v>
      </c>
      <c r="C12" s="278">
        <f>J12-I12</f>
        <v>3708877</v>
      </c>
      <c r="D12" s="277">
        <f>K12-T12</f>
        <v>2219228</v>
      </c>
      <c r="E12" s="60">
        <f>L12-S12</f>
        <v>9045191.5698384</v>
      </c>
      <c r="F12" s="68">
        <f>IF(D12=0,0,C12/D12-1)</f>
        <v>0.6712464875172808</v>
      </c>
      <c r="G12" s="69">
        <f>IF(E12=0,0,C12/E12-1)</f>
        <v>-0.589961476065646</v>
      </c>
      <c r="H12" s="36"/>
      <c r="I12" s="62">
        <v>17505214</v>
      </c>
      <c r="J12" s="242">
        <v>21214091</v>
      </c>
      <c r="K12" s="241">
        <v>12336003</v>
      </c>
      <c r="L12" s="281">
        <v>9045191.5698384</v>
      </c>
      <c r="M12" s="281">
        <v>34453507</v>
      </c>
      <c r="N12" s="68">
        <f>IF(K12=0,0,J12/K12-1)</f>
        <v>0.7196891894400479</v>
      </c>
      <c r="O12" s="69">
        <f>IF(L12=0,0,J12/L12-1)</f>
        <v>1.3453445774149597</v>
      </c>
      <c r="P12" s="111"/>
      <c r="Q12" s="282">
        <v>29213672</v>
      </c>
      <c r="R12" s="245"/>
      <c r="S12" s="257"/>
      <c r="T12" s="241">
        <v>10116775</v>
      </c>
      <c r="U12" s="245"/>
      <c r="V12" s="242">
        <v>10178495</v>
      </c>
      <c r="W12" s="163">
        <f aca="true" t="shared" si="0" ref="W12:W32">+J12-V12</f>
        <v>11035596</v>
      </c>
      <c r="X12" s="315">
        <f aca="true" t="shared" si="1" ref="X12:X32">+W12/V12</f>
        <v>1.0842070463265934</v>
      </c>
      <c r="Y12" s="163">
        <f aca="true" t="shared" si="2" ref="Y12:Y32">+J12-K12</f>
        <v>8878088</v>
      </c>
      <c r="Z12" s="315">
        <f>+Y12/K12</f>
        <v>0.719689189440048</v>
      </c>
    </row>
    <row r="13" spans="1:26" ht="14.25">
      <c r="A13" s="20" t="s">
        <v>13</v>
      </c>
      <c r="B13" s="277">
        <v>2208983</v>
      </c>
      <c r="C13" s="278">
        <f>J13-I13</f>
        <v>2161238.130000001</v>
      </c>
      <c r="D13" s="277">
        <f>K13-T13</f>
        <v>2124199.74</v>
      </c>
      <c r="E13" s="60">
        <f>L13-S13</f>
        <v>20724303.83404437</v>
      </c>
      <c r="F13" s="68">
        <f>IF(C13=0,0,D13/C13-1)</f>
        <v>-0.01713757937446747</v>
      </c>
      <c r="G13" s="71">
        <f>IF(C13=0,0,E13/C13-1)</f>
        <v>8.589088562880557</v>
      </c>
      <c r="H13" s="36"/>
      <c r="I13" s="62">
        <v>10742493.87</v>
      </c>
      <c r="J13" s="242">
        <v>12903732</v>
      </c>
      <c r="K13" s="241">
        <v>12943078.22</v>
      </c>
      <c r="L13" s="281">
        <v>20724303.83404437</v>
      </c>
      <c r="M13" s="281">
        <v>25296303</v>
      </c>
      <c r="N13" s="68">
        <f>IF(J13=0,0,K13/J13-1)</f>
        <v>0.003049212429396375</v>
      </c>
      <c r="O13" s="69">
        <f>IF(J13=0,0,L13/J13-1)</f>
        <v>0.6060705409911156</v>
      </c>
      <c r="P13" s="111"/>
      <c r="Q13" s="282">
        <v>26329213</v>
      </c>
      <c r="R13" s="245"/>
      <c r="S13" s="257"/>
      <c r="T13" s="76">
        <v>10818878.48</v>
      </c>
      <c r="U13" s="245"/>
      <c r="V13" s="242">
        <v>6400575.87</v>
      </c>
      <c r="W13" s="163">
        <f t="shared" si="0"/>
        <v>6503156.13</v>
      </c>
      <c r="X13" s="315">
        <f t="shared" si="1"/>
        <v>1.0160267235454237</v>
      </c>
      <c r="Y13" s="163">
        <f t="shared" si="2"/>
        <v>-39346.22000000067</v>
      </c>
      <c r="Z13" s="315">
        <f>+Y13/K13</f>
        <v>-0.0030399429974240447</v>
      </c>
    </row>
    <row r="14" spans="1:26" ht="14.25">
      <c r="A14" s="20" t="s">
        <v>185</v>
      </c>
      <c r="B14" s="277">
        <v>40734</v>
      </c>
      <c r="C14" s="278">
        <f>J14-I14</f>
        <v>39737</v>
      </c>
      <c r="D14" s="277">
        <f>K14-T14</f>
        <v>38307</v>
      </c>
      <c r="E14" s="60"/>
      <c r="F14" s="68">
        <f>IF(C14=0,0,D14/C14-1)</f>
        <v>-0.03598661197372721</v>
      </c>
      <c r="G14" s="69"/>
      <c r="H14" s="36"/>
      <c r="I14" s="62">
        <v>197661</v>
      </c>
      <c r="J14" s="242">
        <v>237398</v>
      </c>
      <c r="K14" s="241">
        <v>246773</v>
      </c>
      <c r="L14" s="281"/>
      <c r="M14" s="281">
        <v>415733</v>
      </c>
      <c r="N14" s="68">
        <f>IF(J14=0,0,K14/J14-1)</f>
        <v>0.03949064440307004</v>
      </c>
      <c r="O14" s="69">
        <f>IF(J14=0,0,L14/J14-1)</f>
        <v>-1</v>
      </c>
      <c r="P14" s="111"/>
      <c r="Q14" s="282">
        <v>496317</v>
      </c>
      <c r="R14" s="245"/>
      <c r="S14" s="257"/>
      <c r="T14" s="241">
        <v>208466</v>
      </c>
      <c r="U14" s="245"/>
      <c r="V14" s="242">
        <v>115999</v>
      </c>
      <c r="W14" s="163">
        <f t="shared" si="0"/>
        <v>121399</v>
      </c>
      <c r="X14" s="315">
        <f t="shared" si="1"/>
        <v>1.0465521254493573</v>
      </c>
      <c r="Y14" s="163">
        <f t="shared" si="2"/>
        <v>-9375</v>
      </c>
      <c r="Z14" s="315">
        <f>+Y14/K14</f>
        <v>-0.037990379822752086</v>
      </c>
    </row>
    <row r="15" spans="1:26" ht="14.25">
      <c r="A15" s="40" t="s">
        <v>14</v>
      </c>
      <c r="B15" s="218">
        <f>+B11+B12-B13-B14</f>
        <v>6406770</v>
      </c>
      <c r="C15" s="132">
        <f>+C11+C12-C13-C14</f>
        <v>6797064.540000001</v>
      </c>
      <c r="D15" s="218">
        <f>+D11+D12-D13-D14</f>
        <v>4579533.26</v>
      </c>
      <c r="E15" s="218">
        <f>+E11+E12-E13</f>
        <v>33923181.73579404</v>
      </c>
      <c r="F15" s="301">
        <f aca="true" t="shared" si="3" ref="F15:F22">IF(D15=0,0,C15/D15-1)</f>
        <v>0.4842264820673017</v>
      </c>
      <c r="G15" s="73">
        <f aca="true" t="shared" si="4" ref="G15:G22">IF(E15=0,0,C15/E15-1)</f>
        <v>-0.7996336371706525</v>
      </c>
      <c r="H15" s="41"/>
      <c r="I15" s="81">
        <f>I11+I12-I13-I14</f>
        <v>29557899.130000003</v>
      </c>
      <c r="J15" s="132">
        <f>J11+J12-J13-J14</f>
        <v>36354963.67</v>
      </c>
      <c r="K15" s="218">
        <f>+K11+K12-K13-K14</f>
        <v>23947797.78</v>
      </c>
      <c r="L15" s="284">
        <f>+L11+L12-L13</f>
        <v>33923181.73579404</v>
      </c>
      <c r="M15" s="284">
        <f>+M11+M12-M13-M14</f>
        <v>66590285</v>
      </c>
      <c r="N15" s="285">
        <f>IF(J15=0,0,J15/K15-1)</f>
        <v>0.5180921437528525</v>
      </c>
      <c r="O15" s="108">
        <f aca="true" t="shared" si="5" ref="O15:O22">IF(L15=0,0,J15/L15-1)</f>
        <v>0.07168496024770188</v>
      </c>
      <c r="P15" s="112"/>
      <c r="Q15" s="286">
        <f>Q12+Q11-Q13-Q14</f>
        <v>53341351</v>
      </c>
      <c r="R15" s="258">
        <f>R12+R11-R13</f>
        <v>0</v>
      </c>
      <c r="S15" s="258">
        <f>S12+S11-S13</f>
        <v>0</v>
      </c>
      <c r="T15" s="286">
        <f>T12+T11-T13-T14</f>
        <v>19368264.52</v>
      </c>
      <c r="U15" s="258">
        <f>U12+U11-U13</f>
        <v>0</v>
      </c>
      <c r="V15" s="132">
        <f>V11+V12-V13-V14</f>
        <v>17225552.13</v>
      </c>
      <c r="W15" s="163">
        <f t="shared" si="0"/>
        <v>19129411.540000003</v>
      </c>
      <c r="X15" s="315">
        <f t="shared" si="1"/>
        <v>1.1105253054085997</v>
      </c>
      <c r="Y15" s="163">
        <f t="shared" si="2"/>
        <v>12407165.89</v>
      </c>
      <c r="Z15" s="315">
        <f>+Y15/K15</f>
        <v>0.5180921437528524</v>
      </c>
    </row>
    <row r="16" spans="1:26" ht="14.25">
      <c r="A16" s="20" t="s">
        <v>15</v>
      </c>
      <c r="B16" s="277">
        <v>2937838.1000000015</v>
      </c>
      <c r="C16" s="242">
        <f>J16-I16</f>
        <v>2628956.6099999994</v>
      </c>
      <c r="D16" s="60">
        <f aca="true" t="shared" si="6" ref="D16:D21">K16-T16</f>
        <v>2718555</v>
      </c>
      <c r="E16" s="60">
        <f aca="true" t="shared" si="7" ref="E16:E27">L16-S16</f>
        <v>11473096.981124997</v>
      </c>
      <c r="F16" s="68">
        <f t="shared" si="3"/>
        <v>-0.032958093546020084</v>
      </c>
      <c r="G16" s="69">
        <f t="shared" si="4"/>
        <v>-0.7708590266146067</v>
      </c>
      <c r="H16" s="36"/>
      <c r="I16" s="62">
        <v>11730633.22</v>
      </c>
      <c r="J16" s="242">
        <v>14359589.83</v>
      </c>
      <c r="K16" s="241">
        <v>14162903</v>
      </c>
      <c r="L16" s="281">
        <v>11473096.981124997</v>
      </c>
      <c r="M16" s="281">
        <v>35623070</v>
      </c>
      <c r="N16" s="68">
        <f aca="true" t="shared" si="8" ref="N16:N22">IF(K16=0,0,J16/K16-1)</f>
        <v>0.013887465726482695</v>
      </c>
      <c r="O16" s="69">
        <f t="shared" si="5"/>
        <v>0.25158794121794026</v>
      </c>
      <c r="P16" s="111"/>
      <c r="Q16" s="116">
        <v>31508017.98</v>
      </c>
      <c r="R16" s="245"/>
      <c r="S16" s="257"/>
      <c r="T16" s="241">
        <v>11444348</v>
      </c>
      <c r="U16" s="245"/>
      <c r="V16" s="242">
        <v>6991831.8</v>
      </c>
      <c r="W16" s="163">
        <f t="shared" si="0"/>
        <v>7367758.03</v>
      </c>
      <c r="X16" s="315">
        <f t="shared" si="1"/>
        <v>1.0537664864878473</v>
      </c>
      <c r="Y16" s="163">
        <f t="shared" si="2"/>
        <v>196686.83000000007</v>
      </c>
      <c r="Z16" s="315">
        <f>+Y16/K16</f>
        <v>0.013887465726482775</v>
      </c>
    </row>
    <row r="17" spans="1:29" ht="14.25">
      <c r="A17" s="20" t="s">
        <v>16</v>
      </c>
      <c r="B17" s="277">
        <v>775633</v>
      </c>
      <c r="C17" s="242">
        <f aca="true" t="shared" si="9" ref="C17:C26">J17-I17</f>
        <v>876229</v>
      </c>
      <c r="D17" s="277">
        <f t="shared" si="6"/>
        <v>592256</v>
      </c>
      <c r="E17" s="60">
        <f t="shared" si="7"/>
        <v>6747807.372000002</v>
      </c>
      <c r="F17" s="68">
        <f t="shared" si="3"/>
        <v>0.47947678031121677</v>
      </c>
      <c r="G17" s="69">
        <f t="shared" si="4"/>
        <v>-0.8701461153683924</v>
      </c>
      <c r="H17" s="36"/>
      <c r="I17" s="62">
        <v>4867292</v>
      </c>
      <c r="J17" s="242">
        <v>5743521</v>
      </c>
      <c r="K17" s="241">
        <v>4424769</v>
      </c>
      <c r="L17" s="281">
        <v>6747807.372000002</v>
      </c>
      <c r="M17" s="281">
        <v>9877620</v>
      </c>
      <c r="N17" s="68">
        <f t="shared" si="8"/>
        <v>0.2980386094731724</v>
      </c>
      <c r="O17" s="69">
        <f t="shared" si="5"/>
        <v>-0.14883151172442832</v>
      </c>
      <c r="P17" s="111"/>
      <c r="Q17" s="116">
        <v>9576244</v>
      </c>
      <c r="R17" s="245"/>
      <c r="S17" s="257"/>
      <c r="T17" s="241">
        <v>3832513</v>
      </c>
      <c r="U17" s="259"/>
      <c r="V17" s="242">
        <v>3127198</v>
      </c>
      <c r="W17" s="163">
        <f t="shared" si="0"/>
        <v>2616323</v>
      </c>
      <c r="X17" s="315">
        <f t="shared" si="1"/>
        <v>0.8366349044735895</v>
      </c>
      <c r="Y17" s="163">
        <f t="shared" si="2"/>
        <v>1318752</v>
      </c>
      <c r="Z17" s="315">
        <f>+Y17/K17</f>
        <v>0.2980386094731725</v>
      </c>
      <c r="AA17" s="163">
        <f>SUM(Y16:Y17)</f>
        <v>1515438.83</v>
      </c>
      <c r="AB17" s="163">
        <f>SUM(V16:V17)</f>
        <v>10119029.8</v>
      </c>
      <c r="AC17" s="315">
        <f>+AA17/AB17</f>
        <v>0.1497612775090355</v>
      </c>
    </row>
    <row r="18" spans="1:26" ht="14.25">
      <c r="A18" s="20" t="s">
        <v>139</v>
      </c>
      <c r="B18" s="277">
        <v>209880</v>
      </c>
      <c r="C18" s="242">
        <f t="shared" si="9"/>
        <v>209880</v>
      </c>
      <c r="D18" s="241">
        <f t="shared" si="6"/>
        <v>209880</v>
      </c>
      <c r="E18" s="241">
        <f t="shared" si="7"/>
        <v>711206.4</v>
      </c>
      <c r="F18" s="68">
        <f>IF(D18=0,0,C18/D18-1)</f>
        <v>0</v>
      </c>
      <c r="G18" s="69">
        <f>IF(E18=0,0,C18/E18-1)</f>
        <v>-0.7048957939636089</v>
      </c>
      <c r="H18" s="36"/>
      <c r="I18" s="62">
        <v>1049400</v>
      </c>
      <c r="J18" s="242">
        <v>1259280</v>
      </c>
      <c r="K18" s="241">
        <v>1259280</v>
      </c>
      <c r="L18" s="281">
        <v>711206.4</v>
      </c>
      <c r="M18" s="281">
        <v>2518560</v>
      </c>
      <c r="N18" s="68">
        <f t="shared" si="8"/>
        <v>0</v>
      </c>
      <c r="O18" s="69">
        <f t="shared" si="5"/>
        <v>0.7706252362183468</v>
      </c>
      <c r="P18" s="111"/>
      <c r="Q18" s="116">
        <v>2518560</v>
      </c>
      <c r="R18" s="245"/>
      <c r="S18" s="245"/>
      <c r="T18" s="241">
        <v>1049400</v>
      </c>
      <c r="U18" s="259"/>
      <c r="V18" s="242">
        <v>629640</v>
      </c>
      <c r="W18" s="163">
        <f t="shared" si="0"/>
        <v>629640</v>
      </c>
      <c r="X18" s="315">
        <f t="shared" si="1"/>
        <v>1</v>
      </c>
      <c r="Y18" s="163">
        <f t="shared" si="2"/>
        <v>0</v>
      </c>
      <c r="Z18" s="315">
        <f>+Y18/K18</f>
        <v>0</v>
      </c>
    </row>
    <row r="19" spans="1:26" ht="14.25">
      <c r="A19" s="20" t="s">
        <v>173</v>
      </c>
      <c r="B19" s="277">
        <v>194375</v>
      </c>
      <c r="C19" s="242">
        <f t="shared" si="9"/>
        <v>1592261</v>
      </c>
      <c r="D19" s="241">
        <f t="shared" si="6"/>
        <v>-2164974</v>
      </c>
      <c r="E19" s="241">
        <f t="shared" si="7"/>
        <v>-113144.82999999999</v>
      </c>
      <c r="F19" s="68">
        <f>IF(D19=0,0,C19/D19-1)</f>
        <v>-1.7354642596169745</v>
      </c>
      <c r="G19" s="69">
        <f>IF(E19=0,0,C19/E19-1)</f>
        <v>-15.072768503872428</v>
      </c>
      <c r="H19" s="36"/>
      <c r="I19" s="62">
        <v>3533429</v>
      </c>
      <c r="J19" s="242">
        <v>5125690</v>
      </c>
      <c r="K19" s="241">
        <v>-2954766</v>
      </c>
      <c r="L19" s="281">
        <v>-113144.82999999999</v>
      </c>
      <c r="M19" s="281">
        <v>-675000</v>
      </c>
      <c r="N19" s="68">
        <f t="shared" si="8"/>
        <v>-2.7347194329432516</v>
      </c>
      <c r="O19" s="69">
        <f t="shared" si="5"/>
        <v>-46.30202573109174</v>
      </c>
      <c r="P19" s="111"/>
      <c r="Q19" s="116">
        <v>1582365</v>
      </c>
      <c r="R19" s="245"/>
      <c r="S19" s="245"/>
      <c r="T19" s="241">
        <v>-789792</v>
      </c>
      <c r="U19" s="260"/>
      <c r="V19" s="242">
        <v>2811109</v>
      </c>
      <c r="W19" s="163">
        <f t="shared" si="0"/>
        <v>2314581</v>
      </c>
      <c r="X19" s="315">
        <f t="shared" si="1"/>
        <v>0.8233693535184868</v>
      </c>
      <c r="Y19" s="163">
        <f t="shared" si="2"/>
        <v>8080456</v>
      </c>
      <c r="Z19" s="315">
        <f>+Y19/-K19</f>
        <v>2.7347194329432516</v>
      </c>
    </row>
    <row r="20" spans="1:26" ht="14.25">
      <c r="A20" s="20" t="s">
        <v>179</v>
      </c>
      <c r="B20" s="277">
        <v>1685031</v>
      </c>
      <c r="C20" s="242">
        <f t="shared" si="9"/>
        <v>546850</v>
      </c>
      <c r="D20" s="241">
        <f t="shared" si="6"/>
        <v>126575</v>
      </c>
      <c r="E20" s="241">
        <f>L20-S20</f>
        <v>1545590</v>
      </c>
      <c r="F20" s="68">
        <f>IF(D20=0,0,C20/D20-1)</f>
        <v>3.320363420896702</v>
      </c>
      <c r="G20" s="69">
        <f>IF(E20=0,0,C20/E20-1)</f>
        <v>-0.6461868930311402</v>
      </c>
      <c r="H20" s="36"/>
      <c r="I20" s="62">
        <v>5173463</v>
      </c>
      <c r="J20" s="242">
        <v>5720313</v>
      </c>
      <c r="K20" s="241">
        <v>3691288</v>
      </c>
      <c r="L20" s="241">
        <v>1545590</v>
      </c>
      <c r="M20" s="241">
        <v>6000000</v>
      </c>
      <c r="N20" s="68">
        <f t="shared" si="8"/>
        <v>0.5496794072963149</v>
      </c>
      <c r="O20" s="69">
        <f t="shared" si="5"/>
        <v>2.7010546134485858</v>
      </c>
      <c r="P20" s="111"/>
      <c r="Q20" s="116">
        <v>6109297</v>
      </c>
      <c r="R20" s="245"/>
      <c r="S20" s="261"/>
      <c r="T20" s="241">
        <v>3564713</v>
      </c>
      <c r="U20" s="260"/>
      <c r="V20" s="242">
        <v>3369869</v>
      </c>
      <c r="W20" s="163">
        <f t="shared" si="0"/>
        <v>2350444</v>
      </c>
      <c r="X20" s="315">
        <f t="shared" si="1"/>
        <v>0.6974882406408083</v>
      </c>
      <c r="Y20" s="163">
        <f t="shared" si="2"/>
        <v>2029025</v>
      </c>
      <c r="Z20" s="315">
        <f>+Y20/K20</f>
        <v>0.549679407296315</v>
      </c>
    </row>
    <row r="21" spans="1:26" ht="14.25">
      <c r="A21" s="20" t="s">
        <v>17</v>
      </c>
      <c r="B21" s="277">
        <v>2595</v>
      </c>
      <c r="C21" s="242">
        <f t="shared" si="9"/>
        <v>2500</v>
      </c>
      <c r="D21" s="241">
        <f t="shared" si="6"/>
        <v>13300</v>
      </c>
      <c r="E21" s="241">
        <f t="shared" si="7"/>
        <v>-45322.69999999995</v>
      </c>
      <c r="F21" s="68">
        <f t="shared" si="3"/>
        <v>-0.8120300751879699</v>
      </c>
      <c r="G21" s="69">
        <f t="shared" si="4"/>
        <v>-1.0551599970875523</v>
      </c>
      <c r="H21" s="36"/>
      <c r="I21" s="62">
        <v>12595</v>
      </c>
      <c r="J21" s="242">
        <v>15095</v>
      </c>
      <c r="K21" s="241">
        <v>79820</v>
      </c>
      <c r="L21" s="281">
        <v>-45322.69999999995</v>
      </c>
      <c r="M21" s="281">
        <v>201600</v>
      </c>
      <c r="N21" s="68">
        <f t="shared" si="8"/>
        <v>-0.8108869957404159</v>
      </c>
      <c r="O21" s="69">
        <f t="shared" si="5"/>
        <v>-1.3330560624146401</v>
      </c>
      <c r="P21" s="111"/>
      <c r="Q21" s="116">
        <v>159620</v>
      </c>
      <c r="R21" s="245"/>
      <c r="S21" s="257"/>
      <c r="T21" s="241">
        <v>66520</v>
      </c>
      <c r="U21" s="259"/>
      <c r="V21" s="242">
        <v>7500</v>
      </c>
      <c r="W21" s="163">
        <f t="shared" si="0"/>
        <v>7595</v>
      </c>
      <c r="X21" s="315">
        <f t="shared" si="1"/>
        <v>1.0126666666666666</v>
      </c>
      <c r="Y21" s="163">
        <f t="shared" si="2"/>
        <v>-64725</v>
      </c>
      <c r="Z21" s="315">
        <f>+Y21/K21</f>
        <v>-0.8108869957404159</v>
      </c>
    </row>
    <row r="22" spans="1:26" ht="14.25">
      <c r="A22" s="20" t="s">
        <v>18</v>
      </c>
      <c r="B22" s="277">
        <v>32146</v>
      </c>
      <c r="C22" s="242">
        <f t="shared" si="9"/>
        <v>123572</v>
      </c>
      <c r="D22" s="241">
        <f aca="true" t="shared" si="10" ref="D22:D29">K22-T22</f>
        <v>37648</v>
      </c>
      <c r="E22" s="241">
        <f t="shared" si="7"/>
        <v>142237.7425</v>
      </c>
      <c r="F22" s="68">
        <f t="shared" si="3"/>
        <v>2.282299192520187</v>
      </c>
      <c r="G22" s="69">
        <f t="shared" si="4"/>
        <v>-0.13122918131240724</v>
      </c>
      <c r="H22" s="36"/>
      <c r="I22" s="62">
        <v>214359</v>
      </c>
      <c r="J22" s="242">
        <v>337931</v>
      </c>
      <c r="K22" s="241">
        <v>205761</v>
      </c>
      <c r="L22" s="287">
        <v>142237.7425</v>
      </c>
      <c r="M22" s="287">
        <v>120236</v>
      </c>
      <c r="N22" s="68">
        <f t="shared" si="8"/>
        <v>0.6423471892146715</v>
      </c>
      <c r="O22" s="69">
        <f t="shared" si="5"/>
        <v>1.3758180779619726</v>
      </c>
      <c r="P22" s="111"/>
      <c r="Q22" s="116">
        <v>573315</v>
      </c>
      <c r="R22" s="245"/>
      <c r="S22" s="261"/>
      <c r="T22" s="241">
        <v>168113</v>
      </c>
      <c r="U22" s="245"/>
      <c r="V22" s="242">
        <v>125645</v>
      </c>
      <c r="W22" s="163">
        <f t="shared" si="0"/>
        <v>212286</v>
      </c>
      <c r="X22" s="315">
        <f t="shared" si="1"/>
        <v>1.6895698197301923</v>
      </c>
      <c r="Y22" s="163">
        <f t="shared" si="2"/>
        <v>132170</v>
      </c>
      <c r="Z22" s="315">
        <f>+Y22/K22</f>
        <v>0.6423471892146714</v>
      </c>
    </row>
    <row r="23" spans="1:26" ht="14.25">
      <c r="A23" s="20" t="s">
        <v>19</v>
      </c>
      <c r="B23" s="277">
        <v>-379494</v>
      </c>
      <c r="C23" s="242">
        <f t="shared" si="9"/>
        <v>2169858.23</v>
      </c>
      <c r="D23" s="241">
        <f t="shared" si="10"/>
        <v>1552358</v>
      </c>
      <c r="E23" s="241">
        <f t="shared" si="7"/>
        <v>-8395482</v>
      </c>
      <c r="F23" s="68">
        <f>IF(C23=0,0,D23/C23-1)</f>
        <v>-0.28458091015466935</v>
      </c>
      <c r="G23" s="69">
        <f>IF(C23=0,0,E23/C23-1)</f>
        <v>-4.869138492057152</v>
      </c>
      <c r="H23" s="36"/>
      <c r="I23" s="62">
        <v>-1428621</v>
      </c>
      <c r="J23" s="242">
        <v>741237.23</v>
      </c>
      <c r="K23" s="241">
        <v>-908091</v>
      </c>
      <c r="L23" s="281">
        <v>-8395482</v>
      </c>
      <c r="M23" s="281">
        <v>-4000000</v>
      </c>
      <c r="N23" s="68">
        <f>IF(J23=0,0,K23/J23-1)</f>
        <v>-2.225101712713486</v>
      </c>
      <c r="O23" s="69">
        <f>IF(J23=0,0,L23/J23-1)</f>
        <v>-12.326309122384476</v>
      </c>
      <c r="P23" s="111"/>
      <c r="Q23" s="116">
        <v>8556552</v>
      </c>
      <c r="R23" s="245"/>
      <c r="S23" s="257"/>
      <c r="T23" s="241">
        <v>-2460449</v>
      </c>
      <c r="U23" s="245"/>
      <c r="V23" s="242">
        <v>-1033522</v>
      </c>
      <c r="W23" s="163">
        <f t="shared" si="0"/>
        <v>1774759.23</v>
      </c>
      <c r="X23" s="315">
        <f>+W23/-V23</f>
        <v>1.7171954056130396</v>
      </c>
      <c r="Y23" s="163">
        <f>+J23-K23</f>
        <v>1649328.23</v>
      </c>
      <c r="Z23" s="315">
        <f>+Y23/-K23</f>
        <v>1.8162587560057306</v>
      </c>
    </row>
    <row r="24" spans="1:26" ht="14.25">
      <c r="A24" s="20" t="s">
        <v>172</v>
      </c>
      <c r="B24" s="241">
        <v>183837</v>
      </c>
      <c r="C24" s="242">
        <f t="shared" si="9"/>
        <v>427938</v>
      </c>
      <c r="D24" s="241">
        <f t="shared" si="10"/>
        <v>-96662</v>
      </c>
      <c r="E24" s="241">
        <f t="shared" si="7"/>
        <v>-124316</v>
      </c>
      <c r="F24" s="68">
        <f>IF(C24=0,0,D24/C24-1)</f>
        <v>-1.2258785151120022</v>
      </c>
      <c r="G24" s="69">
        <f>IF(C24=0,0,E24/C24-1)</f>
        <v>-1.2905000257046582</v>
      </c>
      <c r="H24" s="36"/>
      <c r="I24" s="62">
        <v>195451</v>
      </c>
      <c r="J24" s="242">
        <v>623389</v>
      </c>
      <c r="K24" s="241">
        <v>228393</v>
      </c>
      <c r="L24" s="281">
        <v>-124316</v>
      </c>
      <c r="M24" s="281">
        <v>-120000</v>
      </c>
      <c r="N24" s="68">
        <f>IF(J24=0,0,K24/J24-1)</f>
        <v>-0.6336268365338497</v>
      </c>
      <c r="O24" s="69">
        <f>IF(J24=0,0,L24/J24-1)</f>
        <v>-1.1994196240228814</v>
      </c>
      <c r="P24" s="111"/>
      <c r="Q24" s="116">
        <v>2299973</v>
      </c>
      <c r="R24" s="245"/>
      <c r="S24" s="257"/>
      <c r="T24" s="241">
        <v>325055</v>
      </c>
      <c r="U24" s="245"/>
      <c r="V24" s="242">
        <v>249329</v>
      </c>
      <c r="W24" s="163">
        <f t="shared" si="0"/>
        <v>374060</v>
      </c>
      <c r="X24" s="315">
        <f t="shared" si="1"/>
        <v>1.5002667158653826</v>
      </c>
      <c r="Y24" s="163">
        <f t="shared" si="2"/>
        <v>394996</v>
      </c>
      <c r="Z24" s="315">
        <f>+Y24/K24</f>
        <v>1.7294575578060623</v>
      </c>
    </row>
    <row r="25" spans="1:29" ht="14.25">
      <c r="A25" s="20" t="s">
        <v>20</v>
      </c>
      <c r="B25" s="277">
        <v>-2790732</v>
      </c>
      <c r="C25" s="242">
        <f t="shared" si="9"/>
        <v>-4841009</v>
      </c>
      <c r="D25" s="241">
        <f t="shared" si="10"/>
        <v>-2466378</v>
      </c>
      <c r="E25" s="241">
        <f t="shared" si="7"/>
        <v>-15608785.642344166</v>
      </c>
      <c r="F25" s="68">
        <f>IF(C25=0,0,D25/C25-1)</f>
        <v>-0.49052397960838334</v>
      </c>
      <c r="G25" s="69">
        <f>IF(C25=0,0,E25/C25-1)</f>
        <v>2.224283541374157</v>
      </c>
      <c r="H25" s="36"/>
      <c r="I25" s="62">
        <v>-14138898</v>
      </c>
      <c r="J25" s="242">
        <v>-18979907</v>
      </c>
      <c r="K25" s="241">
        <v>-14582327</v>
      </c>
      <c r="L25" s="281">
        <v>-15608785.642344166</v>
      </c>
      <c r="M25" s="281">
        <v>-35045859</v>
      </c>
      <c r="N25" s="68">
        <f>-(IF(J25=0,0,J25/K25-1))</f>
        <v>-0.30156915285194197</v>
      </c>
      <c r="O25" s="69">
        <f>IF(J25=0,0,L25/J25-1)</f>
        <v>-0.17761527270159094</v>
      </c>
      <c r="P25" s="111"/>
      <c r="Q25" s="116">
        <v>-31454785</v>
      </c>
      <c r="R25" s="245"/>
      <c r="S25" s="262"/>
      <c r="T25" s="241">
        <v>-12115949</v>
      </c>
      <c r="U25" s="261"/>
      <c r="V25" s="242">
        <v>-8398725</v>
      </c>
      <c r="W25" s="163">
        <f t="shared" si="0"/>
        <v>-10581182</v>
      </c>
      <c r="X25" s="315">
        <f t="shared" si="1"/>
        <v>1.259855751914725</v>
      </c>
      <c r="Y25" s="163">
        <f t="shared" si="2"/>
        <v>-4397580</v>
      </c>
      <c r="Z25" s="315">
        <f>+Y25/K25</f>
        <v>0.30156915285194197</v>
      </c>
      <c r="AA25" s="163">
        <f>-W25-W26</f>
        <v>19697094</v>
      </c>
      <c r="AB25" s="163">
        <f>-K25-K26</f>
        <v>31411975.400000002</v>
      </c>
      <c r="AC25" s="163">
        <f>-J25-J26</f>
        <v>37104406</v>
      </c>
    </row>
    <row r="26" spans="1:29" ht="14.25">
      <c r="A26" s="20" t="s">
        <v>21</v>
      </c>
      <c r="B26" s="277">
        <v>-3134688.629999999</v>
      </c>
      <c r="C26" s="242">
        <f t="shared" si="9"/>
        <v>-2963555</v>
      </c>
      <c r="D26" s="241">
        <f t="shared" si="10"/>
        <v>-2899389.4000000022</v>
      </c>
      <c r="E26" s="241">
        <f t="shared" si="7"/>
        <v>-18209915.3</v>
      </c>
      <c r="F26" s="68">
        <f>IF(C26=0,0,D26/C26-1)</f>
        <v>-0.021651563746918012</v>
      </c>
      <c r="G26" s="69">
        <f>IF(C26=0,0,E26/C26-1)</f>
        <v>5.144618642137568</v>
      </c>
      <c r="H26" s="36"/>
      <c r="I26" s="62">
        <v>-15160944</v>
      </c>
      <c r="J26" s="242">
        <v>-18124499</v>
      </c>
      <c r="K26" s="241">
        <v>-16829648.400000002</v>
      </c>
      <c r="L26" s="281">
        <v>-18209915.3</v>
      </c>
      <c r="M26" s="281">
        <v>-43823020</v>
      </c>
      <c r="N26" s="68">
        <f>-(IF(J26=0,0,J26/K26-1))</f>
        <v>-0.0769386602277442</v>
      </c>
      <c r="O26" s="69">
        <f>IF(J26=0,0,L26/J26-1)</f>
        <v>0.004712753715288898</v>
      </c>
      <c r="P26" s="111"/>
      <c r="Q26" s="116">
        <v>-36849708.76</v>
      </c>
      <c r="R26" s="245"/>
      <c r="S26" s="257"/>
      <c r="T26" s="241">
        <v>-13930259</v>
      </c>
      <c r="U26" s="245"/>
      <c r="V26" s="242">
        <v>-9008587</v>
      </c>
      <c r="W26" s="163">
        <f t="shared" si="0"/>
        <v>-9115912</v>
      </c>
      <c r="X26" s="315">
        <f t="shared" si="1"/>
        <v>1.011913633070314</v>
      </c>
      <c r="Y26" s="163">
        <f t="shared" si="2"/>
        <v>-1294850.5999999978</v>
      </c>
      <c r="Z26" s="315">
        <f>+Y26/K26</f>
        <v>0.07693866022774412</v>
      </c>
      <c r="AA26" s="315">
        <f>(+AA25-AA27)/AA27</f>
        <v>0.13154138904386847</v>
      </c>
      <c r="AC26" s="315">
        <f>(+AC25-AB25)/AB25</f>
        <v>0.18121848522777073</v>
      </c>
    </row>
    <row r="27" spans="1:27" ht="14.25">
      <c r="A27" s="20" t="s">
        <v>177</v>
      </c>
      <c r="B27" s="288">
        <v>0</v>
      </c>
      <c r="C27" s="242">
        <f>J27</f>
        <v>0</v>
      </c>
      <c r="D27" s="277">
        <f t="shared" si="10"/>
        <v>0</v>
      </c>
      <c r="E27" s="60">
        <f t="shared" si="7"/>
        <v>0</v>
      </c>
      <c r="F27" s="70">
        <f>IF(C27=0,0,D27/C27-1)</f>
        <v>0</v>
      </c>
      <c r="G27" s="71">
        <f>IF(C27=0,0,E27/C27-1)</f>
        <v>0</v>
      </c>
      <c r="H27" s="36"/>
      <c r="I27" s="90">
        <v>0</v>
      </c>
      <c r="J27" s="75">
        <v>0</v>
      </c>
      <c r="K27" s="76"/>
      <c r="L27" s="76">
        <v>0</v>
      </c>
      <c r="M27" s="76">
        <v>0</v>
      </c>
      <c r="N27" s="70">
        <f>IF(J27=0,0,K27/J27-1)</f>
        <v>0</v>
      </c>
      <c r="O27" s="71">
        <f>IF(J27=0,0,L27/J27-1)</f>
        <v>0</v>
      </c>
      <c r="P27" s="111"/>
      <c r="Q27" s="283">
        <v>1133583</v>
      </c>
      <c r="R27" s="245"/>
      <c r="S27" s="245"/>
      <c r="T27" s="10"/>
      <c r="U27" s="245"/>
      <c r="V27" s="75">
        <v>0</v>
      </c>
      <c r="W27" s="163">
        <f t="shared" si="0"/>
        <v>0</v>
      </c>
      <c r="X27" s="315"/>
      <c r="Y27" s="163">
        <f t="shared" si="2"/>
        <v>0</v>
      </c>
      <c r="Z27" s="315"/>
      <c r="AA27" s="163">
        <f>-V25-V26</f>
        <v>17407312</v>
      </c>
    </row>
    <row r="28" spans="1:26" ht="14.25">
      <c r="A28" s="40" t="s">
        <v>24</v>
      </c>
      <c r="B28" s="218">
        <f>SUM(B15:B27)</f>
        <v>6123190.4700000025</v>
      </c>
      <c r="C28" s="132">
        <f>SUM(C15:C27)</f>
        <v>7570545.380000001</v>
      </c>
      <c r="D28" s="131">
        <f>SUM(D15:D27)</f>
        <v>2202701.8599999975</v>
      </c>
      <c r="E28" s="131">
        <f>SUM(E15:E27)</f>
        <v>12046153.759074867</v>
      </c>
      <c r="F28" s="72">
        <f>IF(D28=0,0,C28/D28-1)</f>
        <v>2.4369360272842413</v>
      </c>
      <c r="G28" s="73">
        <f>IF(E28=0,0,C28/E28-1)</f>
        <v>-0.3715383738733373</v>
      </c>
      <c r="H28" s="41"/>
      <c r="I28" s="81">
        <f>SUM(I15:I27)</f>
        <v>25606058.35</v>
      </c>
      <c r="J28" s="132">
        <f>SUM(J15:J27)</f>
        <v>33176603.730000004</v>
      </c>
      <c r="K28" s="131">
        <f>SUM(K15:K27)</f>
        <v>12725179.379999999</v>
      </c>
      <c r="L28" s="284">
        <f>SUM(L15:L26)</f>
        <v>12046153.759074867</v>
      </c>
      <c r="M28" s="284">
        <f>SUM(M15:M26)</f>
        <v>37267492</v>
      </c>
      <c r="N28" s="285">
        <f>IF(K28=0,0,J28/K28-1)</f>
        <v>1.6071619691383878</v>
      </c>
      <c r="O28" s="108">
        <f>IF(L28=0,0,J28/L28-1)</f>
        <v>1.7541242120545486</v>
      </c>
      <c r="P28" s="112"/>
      <c r="Q28" s="286">
        <f>SUM(Q15:Q27)</f>
        <v>49054384.220000006</v>
      </c>
      <c r="R28" s="258">
        <f>SUM(R15:R27)</f>
        <v>0</v>
      </c>
      <c r="S28" s="258">
        <f>SUM(S15:S27)</f>
        <v>0</v>
      </c>
      <c r="T28" s="286">
        <f>SUM(T15:T27)</f>
        <v>10522477.519999996</v>
      </c>
      <c r="U28" s="258">
        <f>SUM(U15:U27)</f>
        <v>0</v>
      </c>
      <c r="V28" s="132">
        <f>SUM(V15:V27)</f>
        <v>16096839.93</v>
      </c>
      <c r="W28" s="163">
        <f t="shared" si="0"/>
        <v>17079763.800000004</v>
      </c>
      <c r="X28" s="315">
        <f t="shared" si="1"/>
        <v>1.0610631573820966</v>
      </c>
      <c r="Y28" s="163">
        <f t="shared" si="2"/>
        <v>20451424.350000005</v>
      </c>
      <c r="Z28" s="315">
        <f>+Y28/K28</f>
        <v>1.6071619691383876</v>
      </c>
    </row>
    <row r="29" spans="1:26" ht="14.25">
      <c r="A29" s="20" t="s">
        <v>176</v>
      </c>
      <c r="B29" s="64">
        <v>0</v>
      </c>
      <c r="C29" s="63">
        <v>0</v>
      </c>
      <c r="D29" s="39">
        <f t="shared" si="10"/>
        <v>0</v>
      </c>
      <c r="E29" s="78"/>
      <c r="F29" s="72"/>
      <c r="G29" s="73"/>
      <c r="H29" s="41"/>
      <c r="I29" s="62">
        <v>0</v>
      </c>
      <c r="J29" s="242">
        <v>0</v>
      </c>
      <c r="K29" s="39"/>
      <c r="L29" s="289"/>
      <c r="M29" s="289"/>
      <c r="N29" s="72"/>
      <c r="O29" s="73"/>
      <c r="P29" s="112"/>
      <c r="Q29" s="290">
        <v>-290500</v>
      </c>
      <c r="R29" s="263"/>
      <c r="S29" s="263"/>
      <c r="T29" s="263"/>
      <c r="U29" s="263"/>
      <c r="V29" s="242">
        <v>0</v>
      </c>
      <c r="W29" s="163">
        <f t="shared" si="0"/>
        <v>0</v>
      </c>
      <c r="X29" s="315"/>
      <c r="Y29" s="163">
        <f t="shared" si="2"/>
        <v>0</v>
      </c>
      <c r="Z29" s="315"/>
    </row>
    <row r="30" spans="1:26" ht="14.25">
      <c r="A30" s="20" t="s">
        <v>137</v>
      </c>
      <c r="B30" s="288">
        <v>918478.5705000004</v>
      </c>
      <c r="C30" s="242">
        <f>J30-I30</f>
        <v>1135584.2475</v>
      </c>
      <c r="D30" s="76">
        <f>K30-T30</f>
        <v>330405.27900000033</v>
      </c>
      <c r="E30" s="76">
        <f>L30-S30</f>
        <v>2531943</v>
      </c>
      <c r="F30" s="70">
        <f>IF(C30=0,0,D30/C30-1)</f>
        <v>-0.7090437986196173</v>
      </c>
      <c r="G30" s="71">
        <f>IF(C30=0,0,E30/C30-1)</f>
        <v>1.2296390651544327</v>
      </c>
      <c r="H30" s="36"/>
      <c r="I30" s="90">
        <v>3840908.7525</v>
      </c>
      <c r="J30" s="75">
        <v>4976493</v>
      </c>
      <c r="K30" s="76">
        <f>K28*0.15</f>
        <v>1908776.9069999997</v>
      </c>
      <c r="L30" s="291">
        <v>2531943</v>
      </c>
      <c r="M30" s="291">
        <v>5629724</v>
      </c>
      <c r="N30" s="70">
        <f>IF(J30=0,0,J30/K30-1)</f>
        <v>1.6071632477058255</v>
      </c>
      <c r="O30" s="71">
        <f>IF(J30=0,0,L30/J30-1)</f>
        <v>-0.49121941897637555</v>
      </c>
      <c r="P30" s="111"/>
      <c r="Q30" s="292">
        <v>-7095521</v>
      </c>
      <c r="R30" s="245"/>
      <c r="S30" s="264"/>
      <c r="T30" s="295">
        <v>1578371.6279999993</v>
      </c>
      <c r="U30" s="245"/>
      <c r="V30" s="75">
        <f>V28*0.15</f>
        <v>2414525.9894999997</v>
      </c>
      <c r="W30" s="163">
        <f t="shared" si="0"/>
        <v>2561967.0105000003</v>
      </c>
      <c r="X30" s="315">
        <f t="shared" si="1"/>
        <v>1.0610641681394917</v>
      </c>
      <c r="Y30" s="163">
        <f t="shared" si="2"/>
        <v>3067716.0930000003</v>
      </c>
      <c r="Z30" s="315">
        <f>+Y30/K30</f>
        <v>1.6071632477058257</v>
      </c>
    </row>
    <row r="31" spans="1:26" s="5" customFormat="1" ht="14.25">
      <c r="A31" s="40" t="s">
        <v>25</v>
      </c>
      <c r="B31" s="218">
        <f>+B28-B30-B29</f>
        <v>5204711.899500002</v>
      </c>
      <c r="C31" s="132">
        <f>+C28-C30-C29</f>
        <v>6434961.1325</v>
      </c>
      <c r="D31" s="64">
        <f>D28-D30-D29</f>
        <v>1872296.5809999972</v>
      </c>
      <c r="E31" s="64">
        <f>E28-E30</f>
        <v>9514210.759074867</v>
      </c>
      <c r="F31" s="72">
        <f>IF(D31=0,0,C31/D31-1)</f>
        <v>2.436934723804855</v>
      </c>
      <c r="G31" s="73">
        <f>IF(E31=0,0,C31/E31-1)</f>
        <v>-0.32364740539700676</v>
      </c>
      <c r="H31" s="41"/>
      <c r="I31" s="81">
        <f>+I28-I30-I29</f>
        <v>21765149.5975</v>
      </c>
      <c r="J31" s="132">
        <f>+J28-J30-J29</f>
        <v>28200110.730000004</v>
      </c>
      <c r="K31" s="131">
        <f>+K28-K30-K29</f>
        <v>10816402.473</v>
      </c>
      <c r="L31" s="284">
        <f>+L28-L30</f>
        <v>9514210.759074867</v>
      </c>
      <c r="M31" s="284">
        <f>+M28-M30</f>
        <v>31637768</v>
      </c>
      <c r="N31" s="285">
        <f>IF(K31=0,0,J31/K31-1)</f>
        <v>1.60716174350884</v>
      </c>
      <c r="O31" s="86">
        <f>IF(L31=0,0,J31/L31-1)</f>
        <v>1.9639989531556372</v>
      </c>
      <c r="P31" s="111"/>
      <c r="Q31" s="286">
        <f>Q28+Q29+Q30</f>
        <v>41668363.220000006</v>
      </c>
      <c r="R31" s="258">
        <f>R28-R30</f>
        <v>0</v>
      </c>
      <c r="S31" s="258">
        <f>S28-S30</f>
        <v>0</v>
      </c>
      <c r="T31" s="286">
        <f>T28-T30</f>
        <v>8944105.891999997</v>
      </c>
      <c r="U31" s="258">
        <f>U28-U30</f>
        <v>0</v>
      </c>
      <c r="V31" s="132">
        <f>+V28-V30-V29</f>
        <v>13682313.9405</v>
      </c>
      <c r="W31" s="163">
        <f t="shared" si="0"/>
        <v>14517796.789500004</v>
      </c>
      <c r="X31" s="315">
        <f t="shared" si="1"/>
        <v>1.0610629790131443</v>
      </c>
      <c r="Y31" s="163">
        <f t="shared" si="2"/>
        <v>17383708.257000007</v>
      </c>
      <c r="Z31" s="315">
        <f>+Y31/K31</f>
        <v>1.60716174350884</v>
      </c>
    </row>
    <row r="32" spans="1:26" ht="15" customHeight="1" thickBot="1">
      <c r="A32" s="40" t="s">
        <v>27</v>
      </c>
      <c r="B32" s="300">
        <f>+B31</f>
        <v>5204711.899500002</v>
      </c>
      <c r="C32" s="133">
        <f>+C31</f>
        <v>6434961.1325</v>
      </c>
      <c r="D32" s="67">
        <f>+D31</f>
        <v>1872296.5809999972</v>
      </c>
      <c r="E32" s="67" t="e">
        <f>+E31-#REF!</f>
        <v>#REF!</v>
      </c>
      <c r="F32" s="293">
        <f>IF(D32=0,0,C32/D32-1)</f>
        <v>2.436934723804855</v>
      </c>
      <c r="G32" s="74" t="e">
        <f>IF(E32=0,0,C32/E32-1)</f>
        <v>#REF!</v>
      </c>
      <c r="H32" s="41"/>
      <c r="I32" s="300">
        <f>+I31</f>
        <v>21765149.5975</v>
      </c>
      <c r="J32" s="302">
        <f>+J31</f>
        <v>28200110.730000004</v>
      </c>
      <c r="K32" s="300">
        <f>+K31</f>
        <v>10816402.473</v>
      </c>
      <c r="L32" s="300">
        <f>+L31</f>
        <v>9514210.759074867</v>
      </c>
      <c r="M32" s="300">
        <f>+M31</f>
        <v>31637768</v>
      </c>
      <c r="N32" s="293">
        <f>IF(K32=0,0,J32/K32-1)</f>
        <v>1.60716174350884</v>
      </c>
      <c r="O32" s="92">
        <f>IF(L32=0,0,J32/L32-1)</f>
        <v>1.9639989531556372</v>
      </c>
      <c r="P32" s="112"/>
      <c r="Q32" s="294">
        <f>Q31</f>
        <v>41668363.220000006</v>
      </c>
      <c r="R32" s="265" t="e">
        <f>R31+#REF!</f>
        <v>#REF!</v>
      </c>
      <c r="S32" s="265">
        <f>S31</f>
        <v>0</v>
      </c>
      <c r="T32" s="294">
        <f>T31</f>
        <v>8944105.891999997</v>
      </c>
      <c r="U32" s="265" t="e">
        <f>U31-#REF!</f>
        <v>#REF!</v>
      </c>
      <c r="V32" s="302">
        <f>+V31</f>
        <v>13682313.9405</v>
      </c>
      <c r="W32" s="163">
        <f t="shared" si="0"/>
        <v>14517796.789500004</v>
      </c>
      <c r="X32" s="315">
        <f t="shared" si="1"/>
        <v>1.0610629790131443</v>
      </c>
      <c r="Y32" s="163">
        <f t="shared" si="2"/>
        <v>17383708.257000007</v>
      </c>
      <c r="Z32" s="315">
        <f>+Y32/K32</f>
        <v>1.60716174350884</v>
      </c>
    </row>
    <row r="33" spans="1:22" ht="15" thickTop="1">
      <c r="A33" s="266"/>
      <c r="B33" s="267"/>
      <c r="C33" s="268"/>
      <c r="D33" s="269"/>
      <c r="E33" s="269"/>
      <c r="F33" s="269"/>
      <c r="G33" s="270"/>
      <c r="H33" s="271"/>
      <c r="I33" s="272"/>
      <c r="J33" s="268"/>
      <c r="K33" s="269"/>
      <c r="L33" s="269"/>
      <c r="M33" s="269"/>
      <c r="N33" s="269"/>
      <c r="O33" s="270"/>
      <c r="P33" s="273"/>
      <c r="Q33" s="266"/>
      <c r="R33" s="245"/>
      <c r="S33" s="245"/>
      <c r="T33" s="245"/>
      <c r="U33" s="245"/>
      <c r="V33" s="245"/>
    </row>
    <row r="35" spans="6:15" ht="14.25">
      <c r="F35" s="144"/>
      <c r="G35" s="144"/>
      <c r="J35" s="61"/>
      <c r="N35" s="144"/>
      <c r="O35" s="144"/>
    </row>
    <row r="36" spans="6:15" ht="21.75" customHeight="1">
      <c r="F36" s="144"/>
      <c r="G36" s="144"/>
      <c r="J36" s="61"/>
      <c r="N36" s="144"/>
      <c r="O36" s="144"/>
    </row>
    <row r="37" spans="6:15" ht="14.25">
      <c r="F37" s="144"/>
      <c r="G37" s="144"/>
      <c r="J37" s="61"/>
      <c r="N37" s="144"/>
      <c r="O37" s="144"/>
    </row>
    <row r="38" spans="6:15" ht="14.25">
      <c r="F38" s="144"/>
      <c r="G38" s="144"/>
      <c r="J38" s="64"/>
      <c r="N38" s="144"/>
      <c r="O38" s="144"/>
    </row>
    <row r="39" spans="6:15" ht="14.25">
      <c r="F39" s="144"/>
      <c r="G39" s="144"/>
      <c r="J39" s="61"/>
      <c r="N39" s="144"/>
      <c r="O39" s="144"/>
    </row>
    <row r="40" spans="6:15" ht="14.25">
      <c r="F40" s="144"/>
      <c r="G40" s="144"/>
      <c r="J40" s="61">
        <f>+J16+J17+J18+J19+J20+J21+J22</f>
        <v>32561419.83</v>
      </c>
      <c r="K40" s="241">
        <f>+K16+K17+K18+K19+K20+K21+K22</f>
        <v>20869055</v>
      </c>
      <c r="M40" s="163">
        <f>+J40-K40</f>
        <v>11692364.829999998</v>
      </c>
      <c r="N40" s="144">
        <f>+M40/K40</f>
        <v>0.5602728456080066</v>
      </c>
      <c r="O40" s="144"/>
    </row>
    <row r="41" spans="6:15" ht="15.75" customHeight="1">
      <c r="F41" s="144"/>
      <c r="G41" s="144"/>
      <c r="J41" s="61"/>
      <c r="N41" s="144"/>
      <c r="O41" s="144"/>
    </row>
    <row r="42" spans="1:15" ht="14.25">
      <c r="A42" s="192" t="s">
        <v>126</v>
      </c>
      <c r="B42" s="193">
        <f>B28-B26-B25-B23</f>
        <v>12428105.100000001</v>
      </c>
      <c r="C42" s="193">
        <f>C28-C26-C25-C23</f>
        <v>13205251.15</v>
      </c>
      <c r="D42" s="193">
        <f>D28-D26-D25-D23</f>
        <v>6016111.26</v>
      </c>
      <c r="E42" s="193">
        <f>E28-E26-E25-E23</f>
        <v>54260336.70141903</v>
      </c>
      <c r="F42" s="193"/>
      <c r="G42" s="193"/>
      <c r="H42" s="193">
        <f>H28-H26-H25-H23</f>
        <v>0</v>
      </c>
      <c r="I42" s="193">
        <f>I28-I26-I25-I23</f>
        <v>56334521.35</v>
      </c>
      <c r="J42" s="209">
        <f>J28-J26-J25-J23-J24</f>
        <v>68916383.5</v>
      </c>
      <c r="K42" s="193">
        <f>K28-K26-K25-K23</f>
        <v>45045245.78</v>
      </c>
      <c r="L42" s="193">
        <f>L28-L26-L25-L23</f>
        <v>54260336.70141903</v>
      </c>
      <c r="M42" s="193">
        <f>+J42-K42</f>
        <v>23871137.72</v>
      </c>
      <c r="N42" s="319">
        <f>+M42/K42</f>
        <v>0.5299368958177322</v>
      </c>
      <c r="O42" s="144"/>
    </row>
    <row r="43" spans="1:15" ht="14.25">
      <c r="A43" s="192" t="s">
        <v>127</v>
      </c>
      <c r="B43" s="194">
        <f>B16+B17+B21+B22</f>
        <v>3748212.1000000015</v>
      </c>
      <c r="C43" s="194">
        <f>C16+C17+C21+C22</f>
        <v>3631257.6099999994</v>
      </c>
      <c r="D43" s="194">
        <f>D16+D17+D21+D22</f>
        <v>3361759</v>
      </c>
      <c r="E43" s="194">
        <f>E16+E17+E21+E22</f>
        <v>18317819.395625</v>
      </c>
      <c r="F43" s="194"/>
      <c r="G43" s="194"/>
      <c r="H43" s="194" t="e">
        <f>H16+H17+H21+H22+#REF!</f>
        <v>#REF!</v>
      </c>
      <c r="I43" s="194">
        <f>I16+I17+I21+I22</f>
        <v>16824879.22</v>
      </c>
      <c r="J43" s="210">
        <f>J16+J17+J21+J22+J18+J19</f>
        <v>26841106.83</v>
      </c>
      <c r="K43" s="194">
        <f>K16+K17+K21+K22+K18</f>
        <v>20132533</v>
      </c>
      <c r="L43" s="194">
        <f>L16+L17+L21+L22+L18</f>
        <v>19029025.795624997</v>
      </c>
      <c r="M43" s="194"/>
      <c r="N43" s="144"/>
      <c r="O43" s="144"/>
    </row>
    <row r="44" spans="1:15" ht="14.25">
      <c r="A44" s="192" t="s">
        <v>128</v>
      </c>
      <c r="B44" s="195">
        <f>B26-B25-B23</f>
        <v>35537.37000000104</v>
      </c>
      <c r="C44" s="195">
        <f>C26-C25-C23</f>
        <v>-292404.23</v>
      </c>
      <c r="D44" s="195">
        <f>D26-D25-D23</f>
        <v>-1985369.4000000022</v>
      </c>
      <c r="E44" s="195">
        <f>E26-E25-E23</f>
        <v>5794352.342344165</v>
      </c>
      <c r="F44" s="195"/>
      <c r="G44" s="195"/>
      <c r="H44" s="195">
        <f>H26-H25-H23</f>
        <v>0</v>
      </c>
      <c r="I44" s="195">
        <f>-I26-I25-I23</f>
        <v>30728463</v>
      </c>
      <c r="J44" s="211">
        <f>-J26-J25-J23-J24</f>
        <v>35739779.77</v>
      </c>
      <c r="K44" s="195">
        <f>-K26-K25-K23</f>
        <v>32320066.400000002</v>
      </c>
      <c r="L44" s="195">
        <f>-L26-L25-L23</f>
        <v>42214182.94234417</v>
      </c>
      <c r="M44" s="195"/>
      <c r="N44" s="144"/>
      <c r="O44" s="144"/>
    </row>
    <row r="45" spans="1:15" ht="14.25">
      <c r="A45" s="192" t="s">
        <v>129</v>
      </c>
      <c r="B45" s="195">
        <f>B26-B25</f>
        <v>-343956.62999999896</v>
      </c>
      <c r="C45" s="195">
        <f>C26-C25</f>
        <v>1877454</v>
      </c>
      <c r="D45" s="195">
        <f>D26-D25</f>
        <v>-433011.40000000224</v>
      </c>
      <c r="E45" s="195">
        <f>E26-E25</f>
        <v>-2601129.657655835</v>
      </c>
      <c r="F45" s="195"/>
      <c r="G45" s="195"/>
      <c r="H45" s="195">
        <f>H26-H25</f>
        <v>0</v>
      </c>
      <c r="I45" s="195">
        <f>-I26-I25</f>
        <v>29299842</v>
      </c>
      <c r="J45" s="211">
        <f>-J26-J25</f>
        <v>37104406</v>
      </c>
      <c r="K45" s="195">
        <f>-K26-K25</f>
        <v>31411975.400000002</v>
      </c>
      <c r="L45" s="195">
        <f>-L26-L25</f>
        <v>33818700.94234417</v>
      </c>
      <c r="M45" s="195"/>
      <c r="N45" s="144"/>
      <c r="O45" s="144"/>
    </row>
    <row r="46" spans="1:15" ht="14.25">
      <c r="A46" s="196" t="s">
        <v>130</v>
      </c>
      <c r="B46" s="195">
        <f>B25</f>
        <v>-2790732</v>
      </c>
      <c r="C46" s="195">
        <f>C25</f>
        <v>-4841009</v>
      </c>
      <c r="D46" s="195">
        <f>D25</f>
        <v>-2466378</v>
      </c>
      <c r="E46" s="195">
        <f>E25</f>
        <v>-15608785.642344166</v>
      </c>
      <c r="F46" s="195"/>
      <c r="G46" s="195"/>
      <c r="H46" s="195">
        <f>H25</f>
        <v>0</v>
      </c>
      <c r="I46" s="195">
        <f>I25</f>
        <v>-14138898</v>
      </c>
      <c r="J46" s="211">
        <f>-J25</f>
        <v>18979907</v>
      </c>
      <c r="K46" s="195">
        <f>-K25</f>
        <v>14582327</v>
      </c>
      <c r="L46" s="195">
        <f>L25</f>
        <v>-15608785.642344166</v>
      </c>
      <c r="M46" s="195"/>
      <c r="N46" s="144"/>
      <c r="O46" s="144"/>
    </row>
    <row r="47" spans="1:15" ht="14.25">
      <c r="A47" s="197" t="s">
        <v>131</v>
      </c>
      <c r="B47" s="198"/>
      <c r="C47" s="198"/>
      <c r="D47" s="193"/>
      <c r="E47" s="193"/>
      <c r="J47" s="212"/>
      <c r="K47" s="237"/>
      <c r="L47" s="61"/>
      <c r="M47" s="241"/>
      <c r="N47" s="144"/>
      <c r="O47" s="144"/>
    </row>
    <row r="48" spans="1:15" ht="14.25">
      <c r="A48" s="197" t="s">
        <v>132</v>
      </c>
      <c r="B48" s="198"/>
      <c r="C48" s="198"/>
      <c r="D48" s="193"/>
      <c r="E48" s="193"/>
      <c r="J48" s="213"/>
      <c r="K48" s="64"/>
      <c r="L48" s="64"/>
      <c r="M48" s="64"/>
      <c r="N48" s="144"/>
      <c r="O48" s="144"/>
    </row>
    <row r="49" spans="1:15" ht="14.25">
      <c r="A49" s="199"/>
      <c r="B49" s="198"/>
      <c r="C49" s="198"/>
      <c r="D49" s="193"/>
      <c r="E49" s="193"/>
      <c r="J49" s="214"/>
      <c r="N49" s="144"/>
      <c r="O49" s="144"/>
    </row>
    <row r="50" spans="1:13" ht="14.25">
      <c r="A50" s="198" t="s">
        <v>133</v>
      </c>
      <c r="B50" s="200">
        <f>(B44/B42)</f>
        <v>0.0028594359086970577</v>
      </c>
      <c r="C50" s="193">
        <f>C44-C42</f>
        <v>-13497655.38</v>
      </c>
      <c r="D50" s="193">
        <f>D44-D42</f>
        <v>-8001480.660000002</v>
      </c>
      <c r="E50" s="193">
        <f>E44-E42</f>
        <v>-48465984.35907487</v>
      </c>
      <c r="F50" s="200"/>
      <c r="G50" s="193"/>
      <c r="H50" s="193"/>
      <c r="I50" s="200">
        <f>(I44/I42)</f>
        <v>0.5454641712332575</v>
      </c>
      <c r="J50" s="215">
        <f>(J44/J42)</f>
        <v>0.5185962750062183</v>
      </c>
      <c r="K50" s="200">
        <f>(K44/K42)</f>
        <v>0.7175022766631245</v>
      </c>
      <c r="L50" s="200">
        <f>(L44/L42)</f>
        <v>0.7779933835397702</v>
      </c>
      <c r="M50" s="200"/>
    </row>
    <row r="51" spans="1:13" ht="14.25">
      <c r="A51" s="198" t="s">
        <v>134</v>
      </c>
      <c r="B51" s="201">
        <f>(B45/B42)</f>
        <v>-0.027675709791028312</v>
      </c>
      <c r="C51" s="201">
        <f>(C45/C42)</f>
        <v>0.14217480445269684</v>
      </c>
      <c r="D51" s="201">
        <f>(D45/D42)</f>
        <v>-0.07197529787705459</v>
      </c>
      <c r="E51" s="201">
        <f>(E45/E42)</f>
        <v>-0.04793795644817312</v>
      </c>
      <c r="F51" s="201"/>
      <c r="G51" s="201"/>
      <c r="H51" s="201"/>
      <c r="I51" s="201">
        <f>(I45/I42)</f>
        <v>0.5201045699485649</v>
      </c>
      <c r="J51" s="216">
        <f>(J45/J42)</f>
        <v>0.5383974624843743</v>
      </c>
      <c r="K51" s="201">
        <f>(K45/K42)</f>
        <v>0.6973427463003622</v>
      </c>
      <c r="L51" s="201">
        <f>(L45/L42)</f>
        <v>0.6232674361834495</v>
      </c>
      <c r="M51" s="201"/>
    </row>
    <row r="52" spans="1:13" ht="14.25">
      <c r="A52" s="197" t="s">
        <v>135</v>
      </c>
      <c r="B52" s="201">
        <f>(B46/B42)</f>
        <v>-0.22455008044629424</v>
      </c>
      <c r="C52" s="201">
        <f>(C46/C42)</f>
        <v>-0.3665972683904615</v>
      </c>
      <c r="D52" s="201">
        <f>(D46/D42)</f>
        <v>-0.40996216549359493</v>
      </c>
      <c r="E52" s="201">
        <f>(E46/E42)</f>
        <v>-0.28766473986763813</v>
      </c>
      <c r="F52" s="201"/>
      <c r="G52" s="201"/>
      <c r="H52" s="201"/>
      <c r="I52" s="201">
        <f>(I46/I42)</f>
        <v>-0.2509810620766018</v>
      </c>
      <c r="J52" s="216">
        <f>(J46/J42)</f>
        <v>0.27540486073242654</v>
      </c>
      <c r="K52" s="201">
        <f>(K46/K42)</f>
        <v>0.3237262167736806</v>
      </c>
      <c r="L52" s="201">
        <f>(L46/L42)</f>
        <v>-0.28766473986763813</v>
      </c>
      <c r="M52" s="201"/>
    </row>
    <row r="53" spans="1:13" ht="14.25">
      <c r="A53" s="197" t="s">
        <v>136</v>
      </c>
      <c r="B53" s="201">
        <f>(B43/B46)</f>
        <v>-1.3430928157916997</v>
      </c>
      <c r="C53" s="201">
        <f>(C43/C46)</f>
        <v>-0.7501034619022603</v>
      </c>
      <c r="D53" s="201">
        <f>(D43/D46)</f>
        <v>-1.363034782178563</v>
      </c>
      <c r="E53" s="201">
        <f>(E43/E46)</f>
        <v>-1.173558264899971</v>
      </c>
      <c r="F53" s="201"/>
      <c r="G53" s="201"/>
      <c r="H53" s="201"/>
      <c r="I53" s="201">
        <f>(I43/I46)</f>
        <v>-1.1899710444194447</v>
      </c>
      <c r="J53" s="216">
        <f>(J43/J46)</f>
        <v>1.4141853714035584</v>
      </c>
      <c r="K53" s="201">
        <f>(K43/K46)</f>
        <v>1.3806118186761276</v>
      </c>
      <c r="L53" s="201">
        <f>(L43/L46)</f>
        <v>-1.2191227576347938</v>
      </c>
      <c r="M53" s="201"/>
    </row>
  </sheetData>
  <sheetProtection/>
  <protectedRanges>
    <protectedRange password="9DD3" sqref="I13:I14" name="Range1"/>
    <protectedRange password="9DD3" sqref="I26" name="Range1_1"/>
  </protectedRanges>
  <mergeCells count="4">
    <mergeCell ref="B6:G6"/>
    <mergeCell ref="I6:O6"/>
    <mergeCell ref="W7:W9"/>
    <mergeCell ref="Y7:Y9"/>
  </mergeCells>
  <printOptions horizontalCentered="1"/>
  <pageMargins left="0.23" right="0.23" top="0.75" bottom="0.75" header="0.3" footer="0.3"/>
  <pageSetup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7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26.421875" style="0" bestFit="1" customWidth="1"/>
    <col min="2" max="2" width="11.28125" style="0" bestFit="1" customWidth="1"/>
    <col min="4" max="4" width="10.8515625" style="0" bestFit="1" customWidth="1"/>
    <col min="5" max="5" width="11.57421875" style="0" bestFit="1" customWidth="1"/>
    <col min="6" max="9" width="11.28125" style="0" bestFit="1" customWidth="1"/>
  </cols>
  <sheetData>
    <row r="3" spans="1:16" ht="39.75" thickBot="1">
      <c r="A3" s="174" t="s">
        <v>96</v>
      </c>
      <c r="B3" s="175" t="s">
        <v>97</v>
      </c>
      <c r="C3" s="175" t="s">
        <v>98</v>
      </c>
      <c r="D3" s="175" t="s">
        <v>99</v>
      </c>
      <c r="E3" s="174">
        <v>2011</v>
      </c>
      <c r="F3" s="174">
        <v>2012</v>
      </c>
      <c r="G3" s="174">
        <v>2013</v>
      </c>
      <c r="H3" s="174">
        <v>2014</v>
      </c>
      <c r="I3" s="174">
        <v>2015</v>
      </c>
      <c r="J3" s="174">
        <v>2016</v>
      </c>
      <c r="K3" s="174">
        <v>2017</v>
      </c>
      <c r="L3" s="174">
        <v>2018</v>
      </c>
      <c r="M3" s="174">
        <v>2019</v>
      </c>
      <c r="N3" s="176">
        <v>2020</v>
      </c>
      <c r="O3" s="176">
        <v>2021</v>
      </c>
      <c r="P3" s="176">
        <v>2022</v>
      </c>
    </row>
    <row r="4" ht="14.25">
      <c r="C4" s="177" t="s">
        <v>100</v>
      </c>
    </row>
    <row r="5" spans="1:14" ht="14.25">
      <c r="A5" s="177" t="s">
        <v>101</v>
      </c>
      <c r="B5" s="178">
        <f>-5886000-3692000</f>
        <v>-9578000</v>
      </c>
      <c r="C5">
        <v>8.75</v>
      </c>
      <c r="D5" s="178">
        <f>+B5/C5/12*2</f>
        <v>-182438.09523809524</v>
      </c>
      <c r="E5" s="178">
        <f aca="true" t="shared" si="0" ref="E5:K5">-91219*12</f>
        <v>-1094628</v>
      </c>
      <c r="F5" s="178">
        <f t="shared" si="0"/>
        <v>-1094628</v>
      </c>
      <c r="G5" s="178">
        <f t="shared" si="0"/>
        <v>-1094628</v>
      </c>
      <c r="H5" s="178">
        <f t="shared" si="0"/>
        <v>-1094628</v>
      </c>
      <c r="I5" s="178">
        <f t="shared" si="0"/>
        <v>-1094628</v>
      </c>
      <c r="J5" s="178">
        <f t="shared" si="0"/>
        <v>-1094628</v>
      </c>
      <c r="K5" s="178">
        <f t="shared" si="0"/>
        <v>-1094628</v>
      </c>
      <c r="L5" s="178">
        <f>-91219*7-5</f>
        <v>-638538</v>
      </c>
      <c r="M5" s="178">
        <f>-91219*12</f>
        <v>-1094628</v>
      </c>
      <c r="N5" s="178"/>
    </row>
    <row r="6" spans="1:14" ht="14.25">
      <c r="A6" s="179" t="s">
        <v>102</v>
      </c>
      <c r="B6" s="179"/>
      <c r="C6" s="179"/>
      <c r="D6" s="180">
        <f>+B5-D5</f>
        <v>-9395561.904761905</v>
      </c>
      <c r="E6" s="180">
        <f aca="true" t="shared" si="1" ref="E6:M6">+D6-E5</f>
        <v>-8300933.904761905</v>
      </c>
      <c r="F6" s="180">
        <f t="shared" si="1"/>
        <v>-7206305.904761905</v>
      </c>
      <c r="G6" s="180">
        <f t="shared" si="1"/>
        <v>-6111677.904761905</v>
      </c>
      <c r="H6" s="180">
        <f t="shared" si="1"/>
        <v>-5017049.904761905</v>
      </c>
      <c r="I6" s="180">
        <f t="shared" si="1"/>
        <v>-3922421.904761905</v>
      </c>
      <c r="J6" s="180">
        <f t="shared" si="1"/>
        <v>-2827793.904761905</v>
      </c>
      <c r="K6" s="180">
        <f t="shared" si="1"/>
        <v>-1733165.9047619049</v>
      </c>
      <c r="L6" s="180">
        <f t="shared" si="1"/>
        <v>-1094627.9047619049</v>
      </c>
      <c r="M6" s="180">
        <f t="shared" si="1"/>
        <v>0.09523809514939785</v>
      </c>
      <c r="N6" s="178"/>
    </row>
    <row r="7" spans="4:7" ht="14.25">
      <c r="D7" s="178"/>
      <c r="E7" s="178"/>
      <c r="F7" s="178"/>
      <c r="G7" s="178"/>
    </row>
    <row r="8" spans="1:14" ht="14.25">
      <c r="A8" s="177" t="s">
        <v>103</v>
      </c>
      <c r="B8" s="163">
        <v>-164000</v>
      </c>
      <c r="C8">
        <v>5</v>
      </c>
      <c r="D8" s="178">
        <f>+B8/C8/12*2</f>
        <v>-5466.666666666667</v>
      </c>
      <c r="E8" s="178">
        <f>-2733.5*12</f>
        <v>-32802</v>
      </c>
      <c r="F8" s="178">
        <f>-2733.5*12</f>
        <v>-32802</v>
      </c>
      <c r="G8" s="178">
        <f>-2733.5*12</f>
        <v>-32802</v>
      </c>
      <c r="H8" s="178">
        <f>-2733.5*12</f>
        <v>-32802</v>
      </c>
      <c r="I8" s="178">
        <f>-2733.5*10+10</f>
        <v>-27325</v>
      </c>
      <c r="J8" s="178"/>
      <c r="K8" s="178"/>
      <c r="L8" s="178"/>
      <c r="M8" s="178"/>
      <c r="N8" s="178"/>
    </row>
    <row r="9" spans="1:14" ht="14.25">
      <c r="A9" s="179" t="s">
        <v>102</v>
      </c>
      <c r="B9" s="181"/>
      <c r="C9" s="179"/>
      <c r="D9" s="180">
        <f>+B8-D8</f>
        <v>-158533.33333333334</v>
      </c>
      <c r="E9" s="180">
        <f>+D9-E8</f>
        <v>-125731.33333333334</v>
      </c>
      <c r="F9" s="180">
        <f>+E9-F8</f>
        <v>-92929.33333333334</v>
      </c>
      <c r="G9" s="180">
        <f>+F9-G8</f>
        <v>-60127.33333333334</v>
      </c>
      <c r="H9" s="180">
        <f>+G9-H8</f>
        <v>-27325.333333333343</v>
      </c>
      <c r="I9" s="180">
        <f>+H9-I8</f>
        <v>-0.3333333333430346</v>
      </c>
      <c r="J9" s="180"/>
      <c r="K9" s="180"/>
      <c r="L9" s="178"/>
      <c r="M9" s="178"/>
      <c r="N9" s="178"/>
    </row>
    <row r="10" spans="1:7" ht="14.25">
      <c r="A10" s="177"/>
      <c r="B10" s="163"/>
      <c r="D10" s="178"/>
      <c r="E10" s="178"/>
      <c r="F10" s="178"/>
      <c r="G10" s="178"/>
    </row>
    <row r="11" spans="4:7" ht="14.25">
      <c r="D11" s="178"/>
      <c r="E11" s="178"/>
      <c r="F11" s="178"/>
      <c r="G11" s="178"/>
    </row>
    <row r="12" spans="1:9" ht="14.25">
      <c r="A12" s="177" t="s">
        <v>104</v>
      </c>
      <c r="B12" s="178">
        <v>2645000</v>
      </c>
      <c r="C12">
        <v>4</v>
      </c>
      <c r="D12" s="178">
        <f>+B12/C12/12*2</f>
        <v>110208.33333333333</v>
      </c>
      <c r="E12" s="178">
        <f>55104*12</f>
        <v>661248</v>
      </c>
      <c r="F12" s="178">
        <f>55104*12</f>
        <v>661248</v>
      </c>
      <c r="G12" s="178">
        <f>55104*12</f>
        <v>661248</v>
      </c>
      <c r="H12" s="178">
        <f>55104*10+8</f>
        <v>551048</v>
      </c>
      <c r="I12" s="178"/>
    </row>
    <row r="13" spans="1:9" ht="14.25">
      <c r="A13" s="179" t="s">
        <v>102</v>
      </c>
      <c r="B13" s="180"/>
      <c r="C13" s="179"/>
      <c r="D13" s="180">
        <f>+B12-D12</f>
        <v>2534791.6666666665</v>
      </c>
      <c r="E13" s="180">
        <f>+D13-E12</f>
        <v>1873543.6666666665</v>
      </c>
      <c r="F13" s="180">
        <f>+E13-F12</f>
        <v>1212295.6666666665</v>
      </c>
      <c r="G13" s="180">
        <f>+F13-G12</f>
        <v>551047.6666666665</v>
      </c>
      <c r="H13" s="180">
        <f>+G13-H12</f>
        <v>-0.33333333348855376</v>
      </c>
      <c r="I13" s="178"/>
    </row>
    <row r="14" spans="2:7" ht="14.25">
      <c r="B14" s="178"/>
      <c r="D14" s="178"/>
      <c r="E14" s="178"/>
      <c r="F14" s="178"/>
      <c r="G14" s="178"/>
    </row>
    <row r="15" spans="2:7" ht="14.25">
      <c r="B15" s="178"/>
      <c r="D15" s="178"/>
      <c r="E15" s="178"/>
      <c r="F15" s="178"/>
      <c r="G15" s="178"/>
    </row>
    <row r="16" spans="1:17" ht="14.25">
      <c r="A16" s="177" t="s">
        <v>105</v>
      </c>
      <c r="B16" s="178">
        <f>5085000+2708000</f>
        <v>7793000</v>
      </c>
      <c r="C16">
        <v>12.5</v>
      </c>
      <c r="D16" s="178">
        <f>+B16/C16/12*2</f>
        <v>103906.66666666667</v>
      </c>
      <c r="E16" s="178">
        <f>51954*12</f>
        <v>623448</v>
      </c>
      <c r="F16" s="178">
        <f aca="true" t="shared" si="2" ref="F16:P16">51954*12</f>
        <v>623448</v>
      </c>
      <c r="G16" s="178">
        <f t="shared" si="2"/>
        <v>623448</v>
      </c>
      <c r="H16" s="178">
        <f t="shared" si="2"/>
        <v>623448</v>
      </c>
      <c r="I16" s="178">
        <f t="shared" si="2"/>
        <v>623448</v>
      </c>
      <c r="J16" s="178">
        <f t="shared" si="2"/>
        <v>623448</v>
      </c>
      <c r="K16" s="178">
        <f t="shared" si="2"/>
        <v>623448</v>
      </c>
      <c r="L16" s="178">
        <f t="shared" si="2"/>
        <v>623448</v>
      </c>
      <c r="M16" s="178">
        <f t="shared" si="2"/>
        <v>623448</v>
      </c>
      <c r="N16" s="178">
        <f t="shared" si="2"/>
        <v>623448</v>
      </c>
      <c r="O16" s="178">
        <f t="shared" si="2"/>
        <v>623448</v>
      </c>
      <c r="P16" s="178">
        <f t="shared" si="2"/>
        <v>623448</v>
      </c>
      <c r="Q16" s="178">
        <f>51954*4-99</f>
        <v>207717</v>
      </c>
    </row>
    <row r="17" spans="1:17" ht="14.25">
      <c r="A17" s="179"/>
      <c r="B17" s="179"/>
      <c r="C17" s="179"/>
      <c r="D17" s="180">
        <f>+B16-D16</f>
        <v>7689093.333333333</v>
      </c>
      <c r="E17" s="180">
        <f>+D17-E16</f>
        <v>7065645.333333333</v>
      </c>
      <c r="F17" s="180">
        <f aca="true" t="shared" si="3" ref="F17:O17">+E17-F16</f>
        <v>6442197.333333333</v>
      </c>
      <c r="G17" s="180">
        <f t="shared" si="3"/>
        <v>5818749.333333333</v>
      </c>
      <c r="H17" s="180">
        <f t="shared" si="3"/>
        <v>5195301.333333333</v>
      </c>
      <c r="I17" s="180">
        <f t="shared" si="3"/>
        <v>4571853.333333333</v>
      </c>
      <c r="J17" s="180">
        <f t="shared" si="3"/>
        <v>3948405.333333333</v>
      </c>
      <c r="K17" s="180">
        <f t="shared" si="3"/>
        <v>3324957.333333333</v>
      </c>
      <c r="L17" s="180">
        <f t="shared" si="3"/>
        <v>2701509.333333333</v>
      </c>
      <c r="M17" s="180">
        <f t="shared" si="3"/>
        <v>2078061.333333333</v>
      </c>
      <c r="N17" s="180">
        <f t="shared" si="3"/>
        <v>1454613.333333333</v>
      </c>
      <c r="O17" s="180">
        <f t="shared" si="3"/>
        <v>831165.333333333</v>
      </c>
      <c r="P17" s="180">
        <f>+O17-P16</f>
        <v>207717.33333333302</v>
      </c>
      <c r="Q17" s="180">
        <f>+P17-Q16</f>
        <v>0.3333333330228925</v>
      </c>
    </row>
    <row r="18" spans="4:7" ht="14.25">
      <c r="D18" s="178"/>
      <c r="E18" s="178"/>
      <c r="F18" s="178"/>
      <c r="G18" s="178"/>
    </row>
    <row r="19" spans="4:7" ht="15" thickBot="1">
      <c r="D19" s="178"/>
      <c r="E19" s="178"/>
      <c r="F19" s="178"/>
      <c r="G19" s="178"/>
    </row>
    <row r="20" spans="1:17" ht="14.25">
      <c r="A20" s="182" t="s">
        <v>106</v>
      </c>
      <c r="B20" s="183"/>
      <c r="C20" s="183"/>
      <c r="D20" s="184">
        <f>+D5+D12+D16+D8</f>
        <v>26210.238095238095</v>
      </c>
      <c r="E20" s="184">
        <f aca="true" t="shared" si="4" ref="E20:Q21">+E5+E12+E16</f>
        <v>190068</v>
      </c>
      <c r="F20" s="184">
        <f t="shared" si="4"/>
        <v>190068</v>
      </c>
      <c r="G20" s="184">
        <f t="shared" si="4"/>
        <v>190068</v>
      </c>
      <c r="H20" s="184">
        <f t="shared" si="4"/>
        <v>79868</v>
      </c>
      <c r="I20" s="184">
        <f t="shared" si="4"/>
        <v>-471180</v>
      </c>
      <c r="J20" s="184">
        <f t="shared" si="4"/>
        <v>-471180</v>
      </c>
      <c r="K20" s="184">
        <f t="shared" si="4"/>
        <v>-471180</v>
      </c>
      <c r="L20" s="184">
        <f t="shared" si="4"/>
        <v>-15090</v>
      </c>
      <c r="M20" s="184">
        <f t="shared" si="4"/>
        <v>-471180</v>
      </c>
      <c r="N20" s="184">
        <f t="shared" si="4"/>
        <v>623448</v>
      </c>
      <c r="O20" s="184">
        <f t="shared" si="4"/>
        <v>623448</v>
      </c>
      <c r="P20" s="184">
        <f t="shared" si="4"/>
        <v>623448</v>
      </c>
      <c r="Q20" s="184">
        <f t="shared" si="4"/>
        <v>207717</v>
      </c>
    </row>
    <row r="21" spans="1:17" ht="15" thickBot="1">
      <c r="A21" s="185" t="s">
        <v>107</v>
      </c>
      <c r="B21" s="186">
        <f>SUM(B5:B16)</f>
        <v>696000</v>
      </c>
      <c r="C21" s="185"/>
      <c r="D21" s="187">
        <f>+D6+D13+D17</f>
        <v>828323.0952380942</v>
      </c>
      <c r="E21" s="187">
        <f t="shared" si="4"/>
        <v>638255.0952380942</v>
      </c>
      <c r="F21" s="187">
        <f t="shared" si="4"/>
        <v>448187.0952380942</v>
      </c>
      <c r="G21" s="187">
        <f t="shared" si="4"/>
        <v>258119.09523809422</v>
      </c>
      <c r="H21" s="187">
        <f t="shared" si="4"/>
        <v>178251.09523809422</v>
      </c>
      <c r="I21" s="187">
        <f t="shared" si="4"/>
        <v>649431.4285714282</v>
      </c>
      <c r="J21" s="187">
        <f t="shared" si="4"/>
        <v>1120611.4285714282</v>
      </c>
      <c r="K21" s="187">
        <f t="shared" si="4"/>
        <v>1591791.4285714282</v>
      </c>
      <c r="L21" s="187">
        <f t="shared" si="4"/>
        <v>1606881.4285714282</v>
      </c>
      <c r="M21" s="187">
        <f t="shared" si="4"/>
        <v>2078061.4285714282</v>
      </c>
      <c r="N21" s="187">
        <f t="shared" si="4"/>
        <v>1454613.333333333</v>
      </c>
      <c r="O21" s="187">
        <f t="shared" si="4"/>
        <v>831165.333333333</v>
      </c>
      <c r="P21" s="187">
        <f t="shared" si="4"/>
        <v>207717.33333333302</v>
      </c>
      <c r="Q21" s="187">
        <f t="shared" si="4"/>
        <v>0.3333333330228925</v>
      </c>
    </row>
    <row r="22" ht="15" thickTop="1"/>
    <row r="24" spans="1:6" ht="14.25">
      <c r="A24" t="s">
        <v>108</v>
      </c>
      <c r="E24" s="188">
        <f>+E12+E16</f>
        <v>1284696</v>
      </c>
      <c r="F24" s="188">
        <f>+F12+F16</f>
        <v>1284696</v>
      </c>
    </row>
    <row r="25" ht="14.25">
      <c r="E25" s="178">
        <f>+E24/4</f>
        <v>321174</v>
      </c>
    </row>
    <row r="27" spans="1:5" ht="14.25">
      <c r="A27" t="s">
        <v>109</v>
      </c>
      <c r="E27">
        <f>+E8/4</f>
        <v>-8200.5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39.421875" style="0" bestFit="1" customWidth="1"/>
    <col min="2" max="2" width="12.28125" style="0" bestFit="1" customWidth="1"/>
    <col min="3" max="3" width="15.28125" style="0" bestFit="1" customWidth="1"/>
    <col min="4" max="4" width="15.00390625" style="0" bestFit="1" customWidth="1"/>
    <col min="6" max="6" width="11.57421875" style="0" bestFit="1" customWidth="1"/>
    <col min="8" max="8" width="11.57421875" style="0" bestFit="1" customWidth="1"/>
  </cols>
  <sheetData>
    <row r="4" spans="2:8" ht="14.25">
      <c r="B4" s="228">
        <v>40756</v>
      </c>
      <c r="C4" s="228">
        <v>40725</v>
      </c>
      <c r="D4" t="s">
        <v>143</v>
      </c>
      <c r="F4" t="s">
        <v>144</v>
      </c>
      <c r="H4" t="s">
        <v>145</v>
      </c>
    </row>
    <row r="5" spans="1:8" ht="14.25">
      <c r="A5" s="20" t="s">
        <v>11</v>
      </c>
      <c r="B5" s="227">
        <v>94930304</v>
      </c>
      <c r="C5" s="229">
        <v>82755027</v>
      </c>
      <c r="D5" s="229">
        <v>70275554</v>
      </c>
      <c r="F5" s="188">
        <f>C5-D5</f>
        <v>12479473</v>
      </c>
      <c r="H5" s="227">
        <f>B5-C5</f>
        <v>12175277</v>
      </c>
    </row>
    <row r="6" spans="1:8" ht="14.25">
      <c r="A6" s="20" t="s">
        <v>12</v>
      </c>
      <c r="B6" s="227">
        <v>25803313</v>
      </c>
      <c r="C6" s="229">
        <v>22066443.44520548</v>
      </c>
      <c r="D6" s="229">
        <v>18748570.773972604</v>
      </c>
      <c r="F6" s="188">
        <f aca="true" t="shared" si="0" ref="F6:F27">C6-D6</f>
        <v>3317872.6712328754</v>
      </c>
      <c r="H6" s="227">
        <f aca="true" t="shared" si="1" ref="H6:H26">B6-C6</f>
        <v>3736869.55479452</v>
      </c>
    </row>
    <row r="7" spans="1:8" ht="14.25">
      <c r="A7" s="20" t="s">
        <v>13</v>
      </c>
      <c r="B7" s="227">
        <v>56573242</v>
      </c>
      <c r="C7" s="229">
        <v>49034051.44520548</v>
      </c>
      <c r="D7" s="229">
        <v>41741302.7739726</v>
      </c>
      <c r="F7" s="188">
        <f t="shared" si="0"/>
        <v>7292748.671232879</v>
      </c>
      <c r="H7" s="227">
        <f t="shared" si="1"/>
        <v>7539190.55479452</v>
      </c>
    </row>
    <row r="8" spans="1:8" ht="14.25">
      <c r="A8" s="40" t="s">
        <v>14</v>
      </c>
      <c r="B8" s="227">
        <v>64160375</v>
      </c>
      <c r="C8" s="229">
        <v>55787419</v>
      </c>
      <c r="D8" s="229">
        <v>47283422</v>
      </c>
      <c r="F8" s="188">
        <f t="shared" si="0"/>
        <v>8503997</v>
      </c>
      <c r="H8" s="227">
        <f t="shared" si="1"/>
        <v>8372956</v>
      </c>
    </row>
    <row r="9" spans="1:8" ht="14.25">
      <c r="A9" s="20" t="s">
        <v>15</v>
      </c>
      <c r="B9" s="227">
        <f>12512440-1701934</f>
        <v>10810506</v>
      </c>
      <c r="C9" s="229">
        <f>11958189-824580-982425</f>
        <v>10151184</v>
      </c>
      <c r="D9" s="229">
        <f>10219034-769754-868148</f>
        <v>8581132</v>
      </c>
      <c r="F9" s="188">
        <f t="shared" si="0"/>
        <v>1570052</v>
      </c>
      <c r="H9" s="227">
        <f t="shared" si="1"/>
        <v>659322</v>
      </c>
    </row>
    <row r="10" spans="1:8" ht="14.25">
      <c r="A10" s="20" t="s">
        <v>16</v>
      </c>
      <c r="B10" s="227">
        <v>9310092</v>
      </c>
      <c r="C10" s="229">
        <v>8056259</v>
      </c>
      <c r="D10" s="229">
        <v>6939912</v>
      </c>
      <c r="F10" s="188">
        <f t="shared" si="0"/>
        <v>1116347</v>
      </c>
      <c r="H10" s="227">
        <f t="shared" si="1"/>
        <v>1253833</v>
      </c>
    </row>
    <row r="11" spans="1:8" ht="14.25">
      <c r="A11" s="20" t="s">
        <v>139</v>
      </c>
      <c r="B11" s="227">
        <v>0</v>
      </c>
      <c r="C11" s="229"/>
      <c r="D11" s="229"/>
      <c r="F11" s="188">
        <f t="shared" si="0"/>
        <v>0</v>
      </c>
      <c r="H11" s="227">
        <f t="shared" si="1"/>
        <v>0</v>
      </c>
    </row>
    <row r="12" spans="1:8" ht="14.25">
      <c r="A12" s="20" t="s">
        <v>17</v>
      </c>
      <c r="B12" s="227">
        <f>2831843+1701934</f>
        <v>4533777</v>
      </c>
      <c r="C12" s="229">
        <v>3257904</v>
      </c>
      <c r="D12" s="229">
        <f>2943455</f>
        <v>2943455</v>
      </c>
      <c r="F12" s="188">
        <f t="shared" si="0"/>
        <v>314449</v>
      </c>
      <c r="H12" s="227">
        <f t="shared" si="1"/>
        <v>1275873</v>
      </c>
    </row>
    <row r="13" spans="1:8" ht="14.25">
      <c r="A13" s="20" t="s">
        <v>81</v>
      </c>
      <c r="B13" s="227">
        <v>0</v>
      </c>
      <c r="F13" s="188">
        <f t="shared" si="0"/>
        <v>0</v>
      </c>
      <c r="H13" s="227">
        <f t="shared" si="1"/>
        <v>0</v>
      </c>
    </row>
    <row r="14" spans="1:8" ht="14.25">
      <c r="A14" s="20" t="s">
        <v>18</v>
      </c>
      <c r="B14" s="227">
        <v>89640</v>
      </c>
      <c r="C14" s="229">
        <v>83355</v>
      </c>
      <c r="D14" s="229">
        <v>56883</v>
      </c>
      <c r="F14" s="188">
        <f t="shared" si="0"/>
        <v>26472</v>
      </c>
      <c r="H14" s="227">
        <f t="shared" si="1"/>
        <v>6285</v>
      </c>
    </row>
    <row r="15" spans="1:8" ht="14.25">
      <c r="A15" s="20" t="s">
        <v>140</v>
      </c>
      <c r="B15" s="227"/>
      <c r="C15" s="229"/>
      <c r="D15" s="229"/>
      <c r="F15" s="188">
        <f t="shared" si="0"/>
        <v>0</v>
      </c>
      <c r="H15" s="227">
        <f t="shared" si="1"/>
        <v>0</v>
      </c>
    </row>
    <row r="16" spans="1:8" ht="14.25">
      <c r="A16" s="20" t="s">
        <v>141</v>
      </c>
      <c r="B16" s="227">
        <v>1851595</v>
      </c>
      <c r="C16" s="229">
        <v>1579078</v>
      </c>
      <c r="D16" s="229">
        <v>1335283</v>
      </c>
      <c r="F16" s="188">
        <f t="shared" si="0"/>
        <v>243795</v>
      </c>
      <c r="H16" s="227">
        <f t="shared" si="1"/>
        <v>272517</v>
      </c>
    </row>
    <row r="17" spans="1:8" ht="14.25">
      <c r="A17" s="20" t="s">
        <v>19</v>
      </c>
      <c r="B17" s="227">
        <v>-9094421</v>
      </c>
      <c r="C17" s="229">
        <v>-8148197</v>
      </c>
      <c r="D17" s="229">
        <v>-7457792</v>
      </c>
      <c r="F17" s="188">
        <f t="shared" si="0"/>
        <v>-690405</v>
      </c>
      <c r="H17" s="227">
        <f t="shared" si="1"/>
        <v>-946224</v>
      </c>
    </row>
    <row r="18" spans="1:8" ht="14.25">
      <c r="A18" s="20" t="s">
        <v>20</v>
      </c>
      <c r="B18" s="227">
        <v>-29385080</v>
      </c>
      <c r="C18" s="229">
        <v>-25583806</v>
      </c>
      <c r="D18" s="229">
        <v>-21944010</v>
      </c>
      <c r="F18" s="188">
        <f t="shared" si="0"/>
        <v>-3639796</v>
      </c>
      <c r="H18" s="227">
        <f t="shared" si="1"/>
        <v>-3801274</v>
      </c>
    </row>
    <row r="19" spans="1:8" ht="14.25">
      <c r="A19" s="20" t="s">
        <v>21</v>
      </c>
      <c r="B19" s="227">
        <v>-30210649</v>
      </c>
      <c r="C19" s="229">
        <f>-28330116+982425+824580</f>
        <v>-26523111</v>
      </c>
      <c r="D19" s="229">
        <f>-24151894+769754+868148</f>
        <v>-22513992</v>
      </c>
      <c r="F19" s="188">
        <f t="shared" si="0"/>
        <v>-4009119</v>
      </c>
      <c r="H19" s="227">
        <f t="shared" si="1"/>
        <v>-3687538</v>
      </c>
    </row>
    <row r="20" spans="1:8" ht="14.25">
      <c r="A20" s="20" t="s">
        <v>22</v>
      </c>
      <c r="B20" s="227">
        <v>0</v>
      </c>
      <c r="F20" s="188">
        <f t="shared" si="0"/>
        <v>0</v>
      </c>
      <c r="H20" s="227">
        <f t="shared" si="1"/>
        <v>0</v>
      </c>
    </row>
    <row r="21" spans="1:8" ht="14.25">
      <c r="A21" s="20" t="s">
        <v>23</v>
      </c>
      <c r="B21" s="227">
        <v>0</v>
      </c>
      <c r="F21" s="188">
        <f t="shared" si="0"/>
        <v>0</v>
      </c>
      <c r="H21" s="227">
        <f t="shared" si="1"/>
        <v>0</v>
      </c>
    </row>
    <row r="22" spans="1:8" ht="14.25">
      <c r="A22" s="40" t="s">
        <v>24</v>
      </c>
      <c r="B22" s="227">
        <v>22065835</v>
      </c>
      <c r="C22" s="229">
        <v>18660085</v>
      </c>
      <c r="D22" s="229">
        <v>15224293</v>
      </c>
      <c r="F22" s="188">
        <f t="shared" si="0"/>
        <v>3435792</v>
      </c>
      <c r="H22" s="227">
        <f t="shared" si="1"/>
        <v>3405750</v>
      </c>
    </row>
    <row r="23" spans="1:8" ht="14.25">
      <c r="A23" s="20" t="s">
        <v>137</v>
      </c>
      <c r="B23" s="227">
        <v>2958359.6999999997</v>
      </c>
      <c r="C23" s="229">
        <v>2501377.5</v>
      </c>
      <c r="D23" s="229">
        <v>2012833</v>
      </c>
      <c r="F23" s="188">
        <f t="shared" si="0"/>
        <v>488544.5</v>
      </c>
      <c r="H23" s="227">
        <f t="shared" si="1"/>
        <v>456982.1999999997</v>
      </c>
    </row>
    <row r="24" spans="1:8" ht="14.25">
      <c r="A24" s="40" t="s">
        <v>25</v>
      </c>
      <c r="B24" s="227">
        <v>19107475.3</v>
      </c>
      <c r="C24" s="229">
        <v>16158707.5</v>
      </c>
      <c r="D24" s="229">
        <v>13211460</v>
      </c>
      <c r="F24" s="188">
        <f t="shared" si="0"/>
        <v>2947247.5</v>
      </c>
      <c r="H24" s="227">
        <f t="shared" si="1"/>
        <v>2948767.8000000007</v>
      </c>
    </row>
    <row r="25" spans="1:8" ht="14.25">
      <c r="A25" s="28" t="s">
        <v>26</v>
      </c>
      <c r="B25" s="227">
        <v>1871730.4805</v>
      </c>
      <c r="C25" s="229">
        <v>1492894.05</v>
      </c>
      <c r="D25" s="229">
        <v>1315840.2</v>
      </c>
      <c r="F25" s="188">
        <f t="shared" si="0"/>
        <v>177053.8500000001</v>
      </c>
      <c r="H25" s="227">
        <f t="shared" si="1"/>
        <v>378836.4305</v>
      </c>
    </row>
    <row r="26" spans="1:8" ht="14.25">
      <c r="A26" s="40" t="s">
        <v>27</v>
      </c>
      <c r="B26" s="227">
        <v>17235744.8195</v>
      </c>
      <c r="C26" s="229">
        <v>14665813.45</v>
      </c>
      <c r="D26" s="229">
        <v>11895619.8</v>
      </c>
      <c r="F26" s="188">
        <f t="shared" si="0"/>
        <v>2770193.6499999985</v>
      </c>
      <c r="H26" s="227">
        <f t="shared" si="1"/>
        <v>2569931.3695</v>
      </c>
    </row>
    <row r="27" ht="14.25">
      <c r="F27" s="188">
        <f t="shared" si="0"/>
        <v>0</v>
      </c>
    </row>
    <row r="30" ht="14.25">
      <c r="A30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8"/>
  <sheetViews>
    <sheetView zoomScalePageLayoutView="0" workbookViewId="0" topLeftCell="I19">
      <selection activeCell="B2" sqref="B2:R27"/>
    </sheetView>
  </sheetViews>
  <sheetFormatPr defaultColWidth="9.140625" defaultRowHeight="15"/>
  <cols>
    <col min="2" max="2" width="39.421875" style="0" bestFit="1" customWidth="1"/>
    <col min="3" max="3" width="13.28125" style="0" bestFit="1" customWidth="1"/>
    <col min="4" max="4" width="15.57421875" style="0" bestFit="1" customWidth="1"/>
    <col min="5" max="6" width="15.28125" style="0" bestFit="1" customWidth="1"/>
    <col min="7" max="7" width="12.421875" style="0" bestFit="1" customWidth="1"/>
    <col min="8" max="8" width="14.00390625" style="0" bestFit="1" customWidth="1"/>
    <col min="9" max="9" width="14.140625" style="0" bestFit="1" customWidth="1"/>
    <col min="10" max="10" width="0.85546875" style="0" customWidth="1"/>
    <col min="11" max="11" width="15.28125" style="0" bestFit="1" customWidth="1"/>
    <col min="12" max="12" width="15.00390625" style="0" bestFit="1" customWidth="1"/>
    <col min="13" max="14" width="15.140625" style="0" bestFit="1" customWidth="1"/>
    <col min="15" max="15" width="15.140625" style="0" hidden="1" customWidth="1"/>
    <col min="16" max="16" width="14.28125" style="0" bestFit="1" customWidth="1"/>
    <col min="17" max="17" width="15.00390625" style="0" bestFit="1" customWidth="1"/>
    <col min="18" max="18" width="15.140625" style="0" bestFit="1" customWidth="1"/>
  </cols>
  <sheetData>
    <row r="2" spans="5:17" ht="14.25">
      <c r="E2" t="s">
        <v>7</v>
      </c>
      <c r="M2" t="s">
        <v>148</v>
      </c>
      <c r="Q2" t="s">
        <v>149</v>
      </c>
    </row>
    <row r="4" spans="3:18" ht="14.25">
      <c r="C4" s="233">
        <v>40756</v>
      </c>
      <c r="D4" s="233">
        <v>40725</v>
      </c>
      <c r="E4" s="217" t="s">
        <v>143</v>
      </c>
      <c r="G4" s="217" t="s">
        <v>144</v>
      </c>
      <c r="H4" s="217"/>
      <c r="I4" s="217" t="s">
        <v>145</v>
      </c>
      <c r="J4" s="234"/>
      <c r="L4" s="233">
        <v>40756</v>
      </c>
      <c r="M4" s="233">
        <v>40725</v>
      </c>
      <c r="N4" s="217" t="s">
        <v>143</v>
      </c>
      <c r="Q4" t="s">
        <v>150</v>
      </c>
      <c r="R4" t="s">
        <v>151</v>
      </c>
    </row>
    <row r="5" spans="2:18" ht="14.25">
      <c r="B5" s="20" t="s">
        <v>11</v>
      </c>
      <c r="C5" s="227">
        <v>94486334</v>
      </c>
      <c r="D5" s="229">
        <v>82755027</v>
      </c>
      <c r="E5" s="229">
        <v>70275554</v>
      </c>
      <c r="F5" s="231"/>
      <c r="G5" s="188">
        <f>D5-E5</f>
        <v>12479473</v>
      </c>
      <c r="I5" s="227">
        <f aca="true" t="shared" si="0" ref="I5:I21">C5-D5</f>
        <v>11731307</v>
      </c>
      <c r="J5" s="234"/>
      <c r="K5" s="231"/>
      <c r="L5" s="231">
        <v>97077988</v>
      </c>
      <c r="M5" s="231">
        <v>84621692</v>
      </c>
      <c r="N5" s="231">
        <v>72164797</v>
      </c>
      <c r="Q5" s="188">
        <f>+M5-N5</f>
        <v>12456895</v>
      </c>
      <c r="R5" s="188">
        <f>+L5-M5</f>
        <v>12456296</v>
      </c>
    </row>
    <row r="6" spans="2:18" ht="14.25">
      <c r="B6" s="20" t="s">
        <v>12</v>
      </c>
      <c r="C6" s="227">
        <v>25803313</v>
      </c>
      <c r="D6" s="229">
        <v>22066443.44520548</v>
      </c>
      <c r="E6" s="229">
        <v>18748570.773972604</v>
      </c>
      <c r="F6" s="231"/>
      <c r="G6" s="188">
        <f>D6-E6</f>
        <v>3317872.6712328754</v>
      </c>
      <c r="I6" s="227">
        <f t="shared" si="0"/>
        <v>3736869.55479452</v>
      </c>
      <c r="J6" s="234"/>
      <c r="K6" s="231"/>
      <c r="L6" s="231">
        <v>26343026</v>
      </c>
      <c r="M6" s="231">
        <v>22871046</v>
      </c>
      <c r="N6" s="231">
        <v>19431072</v>
      </c>
      <c r="Q6" s="188">
        <f aca="true" t="shared" si="1" ref="Q6:Q26">+M6-N6</f>
        <v>3439974</v>
      </c>
      <c r="R6" s="188">
        <f aca="true" t="shared" si="2" ref="R6:R26">+L6-M6</f>
        <v>3471980</v>
      </c>
    </row>
    <row r="7" spans="2:18" ht="14.25">
      <c r="B7" s="20" t="s">
        <v>13</v>
      </c>
      <c r="C7" s="227">
        <v>56129272</v>
      </c>
      <c r="D7" s="229">
        <v>49034051.44520548</v>
      </c>
      <c r="E7" s="229">
        <v>41741302.7739726</v>
      </c>
      <c r="F7" s="231"/>
      <c r="G7" s="188">
        <f>D7-E7</f>
        <v>7292748.671232879</v>
      </c>
      <c r="I7" s="227">
        <f t="shared" si="0"/>
        <v>7095220.55479452</v>
      </c>
      <c r="J7" s="234"/>
      <c r="K7" s="231"/>
      <c r="L7" s="231">
        <v>57188660</v>
      </c>
      <c r="M7" s="231">
        <v>49887035</v>
      </c>
      <c r="N7" s="231">
        <v>42482140</v>
      </c>
      <c r="Q7" s="188">
        <f t="shared" si="1"/>
        <v>7404895</v>
      </c>
      <c r="R7" s="188">
        <f t="shared" si="2"/>
        <v>7301625</v>
      </c>
    </row>
    <row r="8" spans="2:18" ht="14.25">
      <c r="B8" s="40" t="s">
        <v>14</v>
      </c>
      <c r="C8" s="227">
        <v>64160375</v>
      </c>
      <c r="D8" s="229">
        <v>55787419</v>
      </c>
      <c r="E8" s="229">
        <f>E5+E6-E7</f>
        <v>47282822</v>
      </c>
      <c r="F8" s="231"/>
      <c r="G8" s="188">
        <f>D8-E8</f>
        <v>8504597</v>
      </c>
      <c r="I8" s="227">
        <f t="shared" si="0"/>
        <v>8372956</v>
      </c>
      <c r="J8" s="234"/>
      <c r="K8" s="231"/>
      <c r="L8" s="231">
        <v>66232354</v>
      </c>
      <c r="M8" s="231">
        <v>57605703</v>
      </c>
      <c r="N8" s="231">
        <v>49113729</v>
      </c>
      <c r="Q8" s="188">
        <f t="shared" si="1"/>
        <v>8491974</v>
      </c>
      <c r="R8" s="188">
        <f t="shared" si="2"/>
        <v>8626651</v>
      </c>
    </row>
    <row r="9" spans="2:18" ht="14.25">
      <c r="B9" s="20" t="s">
        <v>15</v>
      </c>
      <c r="C9" s="227">
        <f>13664044-C39</f>
        <v>11962110</v>
      </c>
      <c r="D9" s="229">
        <f>11958189-D34-D35</f>
        <v>10151184</v>
      </c>
      <c r="E9" s="229">
        <f>10219034-E34-E35</f>
        <v>8581132</v>
      </c>
      <c r="F9" s="231"/>
      <c r="G9" s="235">
        <f aca="true" t="shared" si="3" ref="G9:G27">D9-E9</f>
        <v>1570052</v>
      </c>
      <c r="I9" s="227">
        <f t="shared" si="0"/>
        <v>1810926</v>
      </c>
      <c r="J9" s="234"/>
      <c r="K9" s="231">
        <f>+G9-I9</f>
        <v>-240874</v>
      </c>
      <c r="L9" s="231">
        <f>15058290-1842843</f>
        <v>13215447</v>
      </c>
      <c r="M9" s="231">
        <v>12011432</v>
      </c>
      <c r="N9" s="231">
        <v>10415288</v>
      </c>
      <c r="Q9" s="188">
        <f t="shared" si="1"/>
        <v>1596144</v>
      </c>
      <c r="R9" s="235">
        <f t="shared" si="2"/>
        <v>1204015</v>
      </c>
    </row>
    <row r="10" spans="2:18" ht="14.25">
      <c r="B10" s="20" t="s">
        <v>16</v>
      </c>
      <c r="C10" s="227">
        <v>9310092</v>
      </c>
      <c r="D10" s="229">
        <v>8056259</v>
      </c>
      <c r="E10" s="229">
        <v>6939912</v>
      </c>
      <c r="F10" s="231"/>
      <c r="G10" s="188">
        <f t="shared" si="3"/>
        <v>1116347</v>
      </c>
      <c r="I10" s="227">
        <f t="shared" si="0"/>
        <v>1253833</v>
      </c>
      <c r="J10" s="234"/>
      <c r="K10" s="231"/>
      <c r="L10" s="231">
        <v>9136218</v>
      </c>
      <c r="M10" s="231">
        <v>7919514</v>
      </c>
      <c r="N10" s="231">
        <v>6763396</v>
      </c>
      <c r="Q10" s="188">
        <f t="shared" si="1"/>
        <v>1156118</v>
      </c>
      <c r="R10" s="188">
        <f t="shared" si="2"/>
        <v>1216704</v>
      </c>
    </row>
    <row r="11" spans="2:18" ht="14.25">
      <c r="B11" s="20" t="s">
        <v>139</v>
      </c>
      <c r="C11" s="227">
        <v>0</v>
      </c>
      <c r="D11" s="229"/>
      <c r="E11" s="229"/>
      <c r="F11" s="231"/>
      <c r="G11" s="188">
        <f t="shared" si="3"/>
        <v>0</v>
      </c>
      <c r="I11" s="227">
        <f t="shared" si="0"/>
        <v>0</v>
      </c>
      <c r="J11" s="234"/>
      <c r="K11" s="231"/>
      <c r="L11" s="231">
        <f>1868699-1868699</f>
        <v>0</v>
      </c>
      <c r="M11" s="231">
        <v>0</v>
      </c>
      <c r="N11" s="231">
        <v>0</v>
      </c>
      <c r="Q11" s="188">
        <f t="shared" si="1"/>
        <v>0</v>
      </c>
      <c r="R11" s="188">
        <f t="shared" si="2"/>
        <v>0</v>
      </c>
    </row>
    <row r="12" spans="2:18" ht="14.25">
      <c r="B12" s="20" t="s">
        <v>17</v>
      </c>
      <c r="C12" s="227">
        <f>2662664+C39</f>
        <v>4364598</v>
      </c>
      <c r="D12" s="229">
        <v>3926499</v>
      </c>
      <c r="E12" s="229">
        <f>1971624+1544399</f>
        <v>3516023</v>
      </c>
      <c r="F12" s="231"/>
      <c r="G12" s="188">
        <f t="shared" si="3"/>
        <v>410476</v>
      </c>
      <c r="I12" s="227">
        <f t="shared" si="0"/>
        <v>438099</v>
      </c>
      <c r="J12" s="234"/>
      <c r="K12" s="231"/>
      <c r="L12" s="231">
        <f>4357562+1868699</f>
        <v>6226261</v>
      </c>
      <c r="M12" s="231">
        <v>5643058</v>
      </c>
      <c r="N12" s="231">
        <v>5123606</v>
      </c>
      <c r="Q12" s="188">
        <f t="shared" si="1"/>
        <v>519452</v>
      </c>
      <c r="R12" s="188">
        <f t="shared" si="2"/>
        <v>583203</v>
      </c>
    </row>
    <row r="13" spans="2:18" ht="14.25">
      <c r="B13" s="20" t="s">
        <v>81</v>
      </c>
      <c r="C13" s="227">
        <v>0</v>
      </c>
      <c r="F13" s="231"/>
      <c r="G13" s="188">
        <f t="shared" si="3"/>
        <v>0</v>
      </c>
      <c r="I13" s="227">
        <f t="shared" si="0"/>
        <v>0</v>
      </c>
      <c r="J13" s="234"/>
      <c r="K13" s="231"/>
      <c r="L13" s="231">
        <v>0</v>
      </c>
      <c r="M13" s="231">
        <v>0</v>
      </c>
      <c r="N13" s="231">
        <v>0</v>
      </c>
      <c r="Q13" s="188">
        <f t="shared" si="1"/>
        <v>0</v>
      </c>
      <c r="R13" s="188">
        <f t="shared" si="2"/>
        <v>0</v>
      </c>
    </row>
    <row r="14" spans="2:18" ht="14.25">
      <c r="B14" s="20" t="s">
        <v>18</v>
      </c>
      <c r="C14" s="227">
        <v>89640</v>
      </c>
      <c r="D14" s="229">
        <v>83355</v>
      </c>
      <c r="E14" s="229">
        <v>56883</v>
      </c>
      <c r="F14" s="231"/>
      <c r="G14" s="188">
        <f t="shared" si="3"/>
        <v>26472</v>
      </c>
      <c r="I14" s="227">
        <f t="shared" si="0"/>
        <v>6285</v>
      </c>
      <c r="J14" s="234"/>
      <c r="K14" s="231"/>
      <c r="L14" s="231">
        <v>0</v>
      </c>
      <c r="M14" s="231">
        <v>0</v>
      </c>
      <c r="N14" s="231">
        <v>0</v>
      </c>
      <c r="Q14" s="188">
        <f t="shared" si="1"/>
        <v>0</v>
      </c>
      <c r="R14" s="188">
        <f t="shared" si="2"/>
        <v>0</v>
      </c>
    </row>
    <row r="15" spans="2:18" ht="14.25">
      <c r="B15" s="20" t="s">
        <v>140</v>
      </c>
      <c r="C15" s="227"/>
      <c r="D15" s="229"/>
      <c r="E15" s="229"/>
      <c r="F15" s="231"/>
      <c r="G15" s="188">
        <f t="shared" si="3"/>
        <v>0</v>
      </c>
      <c r="I15" s="227">
        <f t="shared" si="0"/>
        <v>0</v>
      </c>
      <c r="J15" s="234"/>
      <c r="K15" s="231"/>
      <c r="L15" s="231"/>
      <c r="M15" s="231">
        <v>0</v>
      </c>
      <c r="N15" s="231">
        <v>0</v>
      </c>
      <c r="Q15" s="188">
        <f t="shared" si="1"/>
        <v>0</v>
      </c>
      <c r="R15" s="188">
        <f t="shared" si="2"/>
        <v>0</v>
      </c>
    </row>
    <row r="16" spans="2:18" ht="14.25">
      <c r="B16" s="20" t="s">
        <v>141</v>
      </c>
      <c r="C16" s="227">
        <v>1851595</v>
      </c>
      <c r="D16" s="229">
        <v>1579078</v>
      </c>
      <c r="E16" s="229">
        <v>1335283</v>
      </c>
      <c r="F16" s="231"/>
      <c r="G16" s="188">
        <f t="shared" si="3"/>
        <v>243795</v>
      </c>
      <c r="I16" s="227">
        <f t="shared" si="0"/>
        <v>272517</v>
      </c>
      <c r="J16" s="234"/>
      <c r="K16" s="231"/>
      <c r="L16" s="231">
        <v>2168825</v>
      </c>
      <c r="M16" s="231">
        <v>1816698</v>
      </c>
      <c r="N16" s="231">
        <v>1470780</v>
      </c>
      <c r="Q16" s="188">
        <f t="shared" si="1"/>
        <v>345918</v>
      </c>
      <c r="R16" s="188">
        <f t="shared" si="2"/>
        <v>352127</v>
      </c>
    </row>
    <row r="17" spans="2:18" ht="14.25">
      <c r="B17" s="20" t="s">
        <v>19</v>
      </c>
      <c r="C17" s="227">
        <v>-9094421</v>
      </c>
      <c r="D17" s="229">
        <v>-8148197</v>
      </c>
      <c r="E17" s="229">
        <v>-7457792</v>
      </c>
      <c r="F17" s="231"/>
      <c r="G17" s="188">
        <f t="shared" si="3"/>
        <v>-690405</v>
      </c>
      <c r="I17" s="227">
        <f t="shared" si="0"/>
        <v>-946224</v>
      </c>
      <c r="J17" s="234"/>
      <c r="K17" s="231"/>
      <c r="L17" s="231">
        <v>-5393360</v>
      </c>
      <c r="M17" s="231">
        <v>-4726690</v>
      </c>
      <c r="N17" s="231">
        <v>-4060020</v>
      </c>
      <c r="Q17" s="188">
        <f t="shared" si="1"/>
        <v>-666670</v>
      </c>
      <c r="R17" s="188">
        <f t="shared" si="2"/>
        <v>-666670</v>
      </c>
    </row>
    <row r="18" spans="2:18" ht="14.25">
      <c r="B18" s="20" t="s">
        <v>20</v>
      </c>
      <c r="C18" s="227">
        <v>-29385080</v>
      </c>
      <c r="D18" s="229">
        <v>-25583806</v>
      </c>
      <c r="E18" s="229">
        <v>-21936588</v>
      </c>
      <c r="F18" s="231"/>
      <c r="G18" s="188">
        <f t="shared" si="3"/>
        <v>-3647218</v>
      </c>
      <c r="I18" s="227">
        <f t="shared" si="0"/>
        <v>-3801274</v>
      </c>
      <c r="J18" s="234"/>
      <c r="K18" s="231"/>
      <c r="L18" s="231">
        <v>-29888244</v>
      </c>
      <c r="M18" s="231">
        <v>-26165615</v>
      </c>
      <c r="N18" s="231">
        <v>-22441263</v>
      </c>
      <c r="Q18" s="188">
        <f t="shared" si="1"/>
        <v>-3724352</v>
      </c>
      <c r="R18" s="188">
        <f t="shared" si="2"/>
        <v>-3722629</v>
      </c>
    </row>
    <row r="19" spans="2:18" ht="14.25">
      <c r="B19" s="20" t="s">
        <v>21</v>
      </c>
      <c r="C19" s="227">
        <v>-31193074</v>
      </c>
      <c r="D19" s="229">
        <f>-28998711+D34+D35</f>
        <v>-27191706</v>
      </c>
      <c r="E19" s="229">
        <f>-24724462+E34+E35</f>
        <v>-23086560</v>
      </c>
      <c r="F19" s="231"/>
      <c r="G19" s="235">
        <f>D19-E19</f>
        <v>-4105146</v>
      </c>
      <c r="I19" s="227">
        <f t="shared" si="0"/>
        <v>-4001368</v>
      </c>
      <c r="J19" s="234"/>
      <c r="K19" s="231">
        <f>+G19-I19</f>
        <v>-103778</v>
      </c>
      <c r="L19" s="231">
        <f>-34251741+1842843</f>
        <v>-32408898</v>
      </c>
      <c r="M19" s="231">
        <v>-28835733</v>
      </c>
      <c r="N19" s="231">
        <v>-24965699</v>
      </c>
      <c r="Q19" s="188">
        <f t="shared" si="1"/>
        <v>-3870034</v>
      </c>
      <c r="R19" s="235">
        <f t="shared" si="2"/>
        <v>-3573165</v>
      </c>
    </row>
    <row r="20" spans="2:18" ht="14.25">
      <c r="B20" s="20" t="s">
        <v>22</v>
      </c>
      <c r="C20" s="227">
        <v>0</v>
      </c>
      <c r="F20" s="231"/>
      <c r="G20" s="188">
        <f t="shared" si="3"/>
        <v>0</v>
      </c>
      <c r="I20" s="227">
        <f t="shared" si="0"/>
        <v>0</v>
      </c>
      <c r="J20" s="234"/>
      <c r="K20" s="231"/>
      <c r="L20" s="231">
        <v>0</v>
      </c>
      <c r="M20" s="231">
        <v>0</v>
      </c>
      <c r="N20" s="231">
        <v>0</v>
      </c>
      <c r="Q20" s="188">
        <f t="shared" si="1"/>
        <v>0</v>
      </c>
      <c r="R20" s="188">
        <f t="shared" si="2"/>
        <v>0</v>
      </c>
    </row>
    <row r="21" spans="2:18" ht="14.25">
      <c r="B21" s="20" t="s">
        <v>23</v>
      </c>
      <c r="C21" s="227">
        <v>0</v>
      </c>
      <c r="F21" s="231"/>
      <c r="G21" s="188">
        <f t="shared" si="3"/>
        <v>0</v>
      </c>
      <c r="I21" s="227">
        <f t="shared" si="0"/>
        <v>0</v>
      </c>
      <c r="J21" s="234"/>
      <c r="K21" s="231"/>
      <c r="L21" s="231">
        <v>0</v>
      </c>
      <c r="M21" s="231">
        <v>0</v>
      </c>
      <c r="N21" s="231">
        <v>0</v>
      </c>
      <c r="Q21" s="188">
        <f t="shared" si="1"/>
        <v>0</v>
      </c>
      <c r="R21" s="188">
        <f t="shared" si="2"/>
        <v>0</v>
      </c>
    </row>
    <row r="22" spans="2:18" ht="14.25">
      <c r="B22" s="40" t="s">
        <v>24</v>
      </c>
      <c r="C22" s="227">
        <f>SUM(C8:C19)</f>
        <v>22065835</v>
      </c>
      <c r="D22" s="227">
        <f aca="true" t="shared" si="4" ref="D22:I22">SUM(D8:D19)</f>
        <v>18660085</v>
      </c>
      <c r="E22" s="227">
        <f t="shared" si="4"/>
        <v>15231115</v>
      </c>
      <c r="F22" s="231"/>
      <c r="G22" s="227">
        <f t="shared" si="4"/>
        <v>3428970</v>
      </c>
      <c r="H22" s="227">
        <f t="shared" si="4"/>
        <v>0</v>
      </c>
      <c r="I22" s="227">
        <f t="shared" si="4"/>
        <v>3405750</v>
      </c>
      <c r="J22" s="234"/>
      <c r="K22" s="231"/>
      <c r="L22" s="227">
        <f>SUM(L8:L19)</f>
        <v>29288603</v>
      </c>
      <c r="M22" s="227">
        <f>SUM(M8:M19)</f>
        <v>25268367</v>
      </c>
      <c r="N22" s="227">
        <f>SUM(N8:N19)</f>
        <v>21419817</v>
      </c>
      <c r="Q22" s="188">
        <f t="shared" si="1"/>
        <v>3848550</v>
      </c>
      <c r="R22" s="188">
        <f t="shared" si="2"/>
        <v>4020236</v>
      </c>
    </row>
    <row r="23" spans="2:18" ht="14.25">
      <c r="B23" s="20" t="s">
        <v>137</v>
      </c>
      <c r="C23" s="227">
        <v>2958359.6999999997</v>
      </c>
      <c r="D23" s="229">
        <v>2501377.5</v>
      </c>
      <c r="E23" s="229">
        <v>2012833</v>
      </c>
      <c r="F23" s="231"/>
      <c r="G23" s="188">
        <f t="shared" si="3"/>
        <v>488544.5</v>
      </c>
      <c r="I23" s="227">
        <f>C23-D23</f>
        <v>456982.1999999997</v>
      </c>
      <c r="J23" s="234"/>
      <c r="K23" s="231"/>
      <c r="L23" s="231">
        <v>4475651</v>
      </c>
      <c r="M23" s="231">
        <v>3872716</v>
      </c>
      <c r="N23" s="231">
        <v>3282933</v>
      </c>
      <c r="Q23" s="188">
        <f t="shared" si="1"/>
        <v>589783</v>
      </c>
      <c r="R23" s="188">
        <f t="shared" si="2"/>
        <v>602935</v>
      </c>
    </row>
    <row r="24" spans="2:18" ht="14.25">
      <c r="B24" s="40" t="s">
        <v>25</v>
      </c>
      <c r="C24" s="227">
        <f>+C22-C23</f>
        <v>19107475.3</v>
      </c>
      <c r="D24" s="227">
        <f>+D22-D23</f>
        <v>16158707.5</v>
      </c>
      <c r="E24" s="227">
        <f>+E22-E23</f>
        <v>13218282</v>
      </c>
      <c r="F24" s="231"/>
      <c r="G24" s="227">
        <f>+G22-G23</f>
        <v>2940425.5</v>
      </c>
      <c r="H24" s="227">
        <f>+H22-H23</f>
        <v>0</v>
      </c>
      <c r="I24" s="227">
        <f>+I22-I23</f>
        <v>2948767.8000000003</v>
      </c>
      <c r="J24" s="234"/>
      <c r="K24" s="231"/>
      <c r="L24" s="231">
        <v>24812952</v>
      </c>
      <c r="M24" s="231">
        <v>21395651</v>
      </c>
      <c r="N24" s="231">
        <v>18136884</v>
      </c>
      <c r="Q24" s="188">
        <f t="shared" si="1"/>
        <v>3258767</v>
      </c>
      <c r="R24" s="188">
        <f t="shared" si="2"/>
        <v>3417301</v>
      </c>
    </row>
    <row r="25" spans="2:18" ht="14.25">
      <c r="B25" s="28" t="s">
        <v>26</v>
      </c>
      <c r="C25" s="227">
        <v>1871730.4805</v>
      </c>
      <c r="D25" s="229">
        <v>1492894.05</v>
      </c>
      <c r="E25" s="229">
        <v>1315840.2</v>
      </c>
      <c r="G25" s="188">
        <f t="shared" si="3"/>
        <v>177053.8500000001</v>
      </c>
      <c r="I25" s="227">
        <f>C25-D25</f>
        <v>378836.4305</v>
      </c>
      <c r="J25" s="234"/>
      <c r="L25" s="231">
        <v>1691005</v>
      </c>
      <c r="M25" s="231">
        <v>1280848</v>
      </c>
      <c r="N25" s="231">
        <v>905524</v>
      </c>
      <c r="Q25" s="188">
        <f t="shared" si="1"/>
        <v>375324</v>
      </c>
      <c r="R25" s="188">
        <f t="shared" si="2"/>
        <v>410157</v>
      </c>
    </row>
    <row r="26" spans="2:18" ht="14.25">
      <c r="B26" s="40" t="s">
        <v>27</v>
      </c>
      <c r="C26" s="227">
        <f>+C24-C25</f>
        <v>17235744.8195</v>
      </c>
      <c r="D26" s="227">
        <f aca="true" t="shared" si="5" ref="D26:I26">+D24-D25</f>
        <v>14665813.45</v>
      </c>
      <c r="E26" s="227">
        <f t="shared" si="5"/>
        <v>11902441.8</v>
      </c>
      <c r="F26" s="227"/>
      <c r="G26" s="227">
        <f t="shared" si="5"/>
        <v>2763371.65</v>
      </c>
      <c r="H26" s="227">
        <f t="shared" si="5"/>
        <v>0</v>
      </c>
      <c r="I26" s="227">
        <f t="shared" si="5"/>
        <v>2569931.3695</v>
      </c>
      <c r="J26" s="234"/>
      <c r="L26" s="227">
        <f>+L24-L25</f>
        <v>23121947</v>
      </c>
      <c r="M26" s="227">
        <f>+M24-M25</f>
        <v>20114803</v>
      </c>
      <c r="N26" s="227">
        <f>+N24-N25</f>
        <v>17231360</v>
      </c>
      <c r="Q26" s="188">
        <f t="shared" si="1"/>
        <v>2883443</v>
      </c>
      <c r="R26" s="188">
        <f t="shared" si="2"/>
        <v>3007144</v>
      </c>
    </row>
    <row r="27" spans="7:10" ht="14.25">
      <c r="G27" s="188">
        <f t="shared" si="3"/>
        <v>0</v>
      </c>
      <c r="J27" s="234"/>
    </row>
    <row r="28" ht="14.25">
      <c r="J28" s="234"/>
    </row>
    <row r="30" ht="14.25">
      <c r="B30" s="5" t="s">
        <v>146</v>
      </c>
    </row>
    <row r="31" spans="2:5" ht="14.25">
      <c r="B31" t="s">
        <v>152</v>
      </c>
      <c r="D31" s="231">
        <v>20685</v>
      </c>
      <c r="E31">
        <v>20685</v>
      </c>
    </row>
    <row r="32" spans="2:5" ht="14.25">
      <c r="B32" t="s">
        <v>153</v>
      </c>
      <c r="D32">
        <v>270</v>
      </c>
      <c r="E32">
        <v>270</v>
      </c>
    </row>
    <row r="33" spans="2:5" ht="14.25">
      <c r="B33" t="s">
        <v>154</v>
      </c>
      <c r="D33" s="231">
        <v>961470</v>
      </c>
      <c r="E33">
        <v>847193</v>
      </c>
    </row>
    <row r="34" spans="4:5" ht="14.25">
      <c r="D34" s="188">
        <f>SUM(D31:D33)</f>
        <v>982425</v>
      </c>
      <c r="E34" s="188">
        <f>SUM(E31:E33)</f>
        <v>868148</v>
      </c>
    </row>
    <row r="35" spans="2:5" ht="14.25">
      <c r="B35" t="s">
        <v>155</v>
      </c>
      <c r="D35" s="188">
        <v>824580</v>
      </c>
      <c r="E35" s="188">
        <v>769754</v>
      </c>
    </row>
    <row r="36" spans="4:5" ht="14.25">
      <c r="D36" s="188"/>
      <c r="E36" s="188"/>
    </row>
    <row r="37" spans="4:5" ht="14.25">
      <c r="D37" s="188"/>
      <c r="E37" s="188"/>
    </row>
    <row r="38" spans="4:5" ht="14.25">
      <c r="D38" s="188"/>
      <c r="E38" s="188"/>
    </row>
    <row r="39" spans="2:3" ht="14.25">
      <c r="B39" t="s">
        <v>147</v>
      </c>
      <c r="C39" s="231">
        <v>1701934</v>
      </c>
    </row>
    <row r="42" ht="14.25">
      <c r="N42" t="s">
        <v>170</v>
      </c>
    </row>
    <row r="44" spans="4:17" ht="14.25">
      <c r="D44" s="232" t="s">
        <v>158</v>
      </c>
      <c r="E44" s="232" t="s">
        <v>159</v>
      </c>
      <c r="F44" s="232" t="s">
        <v>160</v>
      </c>
      <c r="G44" s="232" t="s">
        <v>161</v>
      </c>
      <c r="H44" s="232" t="s">
        <v>162</v>
      </c>
      <c r="I44" s="232" t="s">
        <v>163</v>
      </c>
      <c r="J44" s="232" t="s">
        <v>164</v>
      </c>
      <c r="K44" s="232" t="s">
        <v>165</v>
      </c>
      <c r="L44" s="232" t="s">
        <v>166</v>
      </c>
      <c r="M44" s="232" t="s">
        <v>171</v>
      </c>
      <c r="O44" t="s">
        <v>167</v>
      </c>
      <c r="P44" t="s">
        <v>168</v>
      </c>
      <c r="Q44" t="s">
        <v>169</v>
      </c>
    </row>
    <row r="46" spans="1:18" ht="14.25">
      <c r="A46" t="s">
        <v>145</v>
      </c>
      <c r="B46" s="230" t="s">
        <v>21</v>
      </c>
      <c r="C46" s="230"/>
      <c r="D46" s="230">
        <v>-24907504</v>
      </c>
      <c r="E46" s="230">
        <v>-1830087</v>
      </c>
      <c r="F46" s="230">
        <v>-8251221</v>
      </c>
      <c r="G46" s="230">
        <v>-278837</v>
      </c>
      <c r="H46" s="230">
        <v>-1450892</v>
      </c>
      <c r="I46" s="230">
        <v>-3797262</v>
      </c>
      <c r="J46" s="230">
        <v>-2134471</v>
      </c>
      <c r="K46" s="230">
        <v>-4212</v>
      </c>
      <c r="L46" s="230"/>
      <c r="M46" s="230">
        <v>-11284340</v>
      </c>
      <c r="N46" s="230">
        <f>SUM(D46:M46)</f>
        <v>-53938826</v>
      </c>
      <c r="O46" s="230">
        <v>701619</v>
      </c>
      <c r="P46" s="230">
        <f>23447371+764108</f>
        <v>24211479</v>
      </c>
      <c r="Q46" s="231">
        <f>+N46-O46+P46</f>
        <v>-30428966</v>
      </c>
      <c r="R46" s="230"/>
    </row>
    <row r="47" spans="1:18" ht="14.25">
      <c r="A47" t="s">
        <v>156</v>
      </c>
      <c r="B47" s="231" t="s">
        <v>21</v>
      </c>
      <c r="C47" s="231"/>
      <c r="D47" s="231">
        <v>-22671096</v>
      </c>
      <c r="E47" s="231">
        <v>-1578842</v>
      </c>
      <c r="F47" s="231">
        <v>-7233127</v>
      </c>
      <c r="G47" s="231">
        <v>-241828</v>
      </c>
      <c r="H47" s="231">
        <v>-1257327</v>
      </c>
      <c r="I47" s="231">
        <v>-3322428</v>
      </c>
      <c r="J47" s="231">
        <v>-1820112</v>
      </c>
      <c r="K47" s="231">
        <v>-2568</v>
      </c>
      <c r="L47" s="231"/>
      <c r="M47" s="231">
        <v>-10672074</v>
      </c>
      <c r="N47" s="230">
        <f>SUM(D47:M47)</f>
        <v>-48799402</v>
      </c>
      <c r="O47" s="231">
        <v>646326</v>
      </c>
      <c r="P47" s="231">
        <f>20487659+668595</f>
        <v>21156254</v>
      </c>
      <c r="Q47" s="231">
        <f>+N47-O47+P47</f>
        <v>-28289474</v>
      </c>
      <c r="R47" s="231"/>
    </row>
    <row r="48" spans="1:17" ht="14.25">
      <c r="A48" t="s">
        <v>157</v>
      </c>
      <c r="B48" s="231" t="s">
        <v>21</v>
      </c>
      <c r="C48" s="231"/>
      <c r="D48" s="231">
        <f>-18703873-480275</f>
        <v>-19184148</v>
      </c>
      <c r="E48" s="231">
        <v>-1340364</v>
      </c>
      <c r="F48" s="231">
        <v>-5919679</v>
      </c>
      <c r="G48" s="231">
        <v>-210000</v>
      </c>
      <c r="H48" s="231">
        <v>-1062920</v>
      </c>
      <c r="I48" s="231">
        <v>-2880177</v>
      </c>
      <c r="J48" s="231">
        <v>-1552424</v>
      </c>
      <c r="K48" s="231">
        <v>-2568</v>
      </c>
      <c r="L48" s="231"/>
      <c r="M48" s="231">
        <v>-9279569</v>
      </c>
      <c r="N48" s="230">
        <f>SUM(D48:M48)</f>
        <v>-41431849</v>
      </c>
      <c r="O48" s="231">
        <v>539715</v>
      </c>
      <c r="P48" s="231">
        <f>17247102+572568</f>
        <v>17819670</v>
      </c>
      <c r="Q48" s="231">
        <f>+N48-O48+P48</f>
        <v>-24151894</v>
      </c>
    </row>
  </sheetData>
  <sheetProtection/>
  <printOptions/>
  <pageMargins left="0.7" right="0.7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Caribbean Financial Holdings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malvory reece</dc:creator>
  <cp:keywords/>
  <dc:description/>
  <cp:lastModifiedBy>Janice Serieux</cp:lastModifiedBy>
  <cp:lastPrinted>2018-07-25T16:56:00Z</cp:lastPrinted>
  <dcterms:created xsi:type="dcterms:W3CDTF">2011-02-07T20:29:56Z</dcterms:created>
  <dcterms:modified xsi:type="dcterms:W3CDTF">2023-07-26T21:56:19Z</dcterms:modified>
  <cp:category/>
  <cp:version/>
  <cp:contentType/>
  <cp:contentStatus/>
</cp:coreProperties>
</file>